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Tercera edición LIBRO FINANZAS\EJERCICIOS LARGOS - CASOS\ESTRUCTURA FINANCIERA Y RENTABILIDAD (BACKUS)\"/>
    </mc:Choice>
  </mc:AlternateContent>
  <bookViews>
    <workbookView xWindow="0" yWindow="0" windowWidth="11475" windowHeight="7680" activeTab="1"/>
  </bookViews>
  <sheets>
    <sheet name="TABLA 1" sheetId="1" r:id="rId1"/>
    <sheet name="TABLA 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7" i="2" l="1"/>
  <c r="E36" i="2"/>
  <c r="E35" i="2"/>
  <c r="E23" i="1" l="1"/>
  <c r="E21" i="1"/>
  <c r="E22" i="1"/>
  <c r="E17" i="1"/>
  <c r="E11" i="1"/>
  <c r="E14" i="1" l="1"/>
  <c r="E5" i="2"/>
  <c r="V11" i="1" l="1"/>
  <c r="S4" i="1"/>
  <c r="T27" i="1" s="1"/>
  <c r="V6" i="1"/>
  <c r="C35" i="2" l="1"/>
  <c r="D14" i="2"/>
  <c r="C26" i="1"/>
  <c r="E13" i="1" l="1"/>
  <c r="M12" i="1"/>
  <c r="K12" i="1"/>
  <c r="M37" i="1"/>
  <c r="M38" i="1" s="1"/>
  <c r="M39" i="1" s="1"/>
  <c r="K37" i="1"/>
  <c r="K38" i="1" s="1"/>
  <c r="I37" i="1"/>
  <c r="I38" i="1" s="1"/>
  <c r="I39" i="1" s="1"/>
  <c r="G37" i="1"/>
  <c r="G38" i="1" s="1"/>
  <c r="G39" i="1" s="1"/>
  <c r="S11" i="1"/>
  <c r="S7" i="1"/>
  <c r="S8" i="1"/>
  <c r="S9" i="1"/>
  <c r="S14" i="1"/>
  <c r="S13" i="1"/>
  <c r="C7" i="2"/>
  <c r="C6" i="2"/>
  <c r="C5" i="2"/>
  <c r="G40" i="1" l="1"/>
  <c r="I40" i="1"/>
  <c r="K39" i="1"/>
  <c r="K40" i="1" s="1"/>
  <c r="M40" i="1"/>
  <c r="E37" i="1"/>
  <c r="E27" i="1"/>
  <c r="M27" i="1"/>
  <c r="M28" i="1" s="1"/>
  <c r="K27" i="1"/>
  <c r="K28" i="1" s="1"/>
  <c r="K29" i="1" s="1"/>
  <c r="K30" i="1" s="1"/>
  <c r="I27" i="1"/>
  <c r="I28" i="1" s="1"/>
  <c r="G27" i="1"/>
  <c r="G28" i="1" s="1"/>
  <c r="M17" i="1"/>
  <c r="M18" i="1" s="1"/>
  <c r="K17" i="1"/>
  <c r="K18" i="1" s="1"/>
  <c r="I17" i="1"/>
  <c r="I18" i="1" s="1"/>
  <c r="G17" i="1"/>
  <c r="G18" i="1" s="1"/>
  <c r="M7" i="1"/>
  <c r="K7" i="1"/>
  <c r="I7" i="1"/>
  <c r="G7" i="1"/>
  <c r="E7" i="1"/>
  <c r="K19" i="1" l="1"/>
  <c r="K20" i="1" s="1"/>
  <c r="G19" i="1"/>
  <c r="G20" i="1" s="1"/>
  <c r="I19" i="1"/>
  <c r="I20" i="1" s="1"/>
  <c r="G29" i="1"/>
  <c r="G30" i="1" s="1"/>
  <c r="I29" i="1"/>
  <c r="I30" i="1" s="1"/>
  <c r="M29" i="1"/>
  <c r="M30" i="1" s="1"/>
  <c r="S15" i="1"/>
  <c r="Q20" i="2"/>
  <c r="C11" i="1" l="1"/>
  <c r="C16" i="1" l="1"/>
  <c r="C60" i="1" l="1"/>
  <c r="M4" i="2"/>
  <c r="K4" i="2"/>
  <c r="I4" i="2"/>
  <c r="G4" i="2"/>
  <c r="M22" i="1"/>
  <c r="M21" i="1" s="1"/>
  <c r="K22" i="1"/>
  <c r="K21" i="1" s="1"/>
  <c r="I22" i="1"/>
  <c r="I21" i="1" s="1"/>
  <c r="G22" i="1"/>
  <c r="G21" i="1" s="1"/>
  <c r="C39" i="1" l="1"/>
  <c r="C37" i="1"/>
  <c r="C29" i="1"/>
  <c r="C27" i="1"/>
  <c r="C19" i="1"/>
  <c r="C17" i="1"/>
  <c r="C5" i="1"/>
  <c r="C6" i="1"/>
  <c r="C36" i="1"/>
  <c r="I32" i="1" l="1"/>
  <c r="I31" i="1" s="1"/>
  <c r="G32" i="1"/>
  <c r="G31" i="1" s="1"/>
  <c r="C68" i="1"/>
  <c r="M32" i="1"/>
  <c r="M31" i="1" s="1"/>
  <c r="E32" i="1"/>
  <c r="E31" i="1" s="1"/>
  <c r="K32" i="1"/>
  <c r="K31" i="1" s="1"/>
  <c r="C76" i="1"/>
  <c r="M42" i="1"/>
  <c r="M41" i="1" s="1"/>
  <c r="E42" i="1"/>
  <c r="E41" i="1" s="1"/>
  <c r="K42" i="1"/>
  <c r="K41" i="1" s="1"/>
  <c r="I42" i="1"/>
  <c r="I41" i="1" s="1"/>
  <c r="G42" i="1"/>
  <c r="G41" i="1" s="1"/>
  <c r="M13" i="1"/>
  <c r="M14" i="1" s="1"/>
  <c r="K13" i="1"/>
  <c r="K14" i="1" s="1"/>
  <c r="I13" i="1"/>
  <c r="G13" i="1"/>
  <c r="C38" i="2" l="1"/>
  <c r="C37" i="2"/>
  <c r="C36" i="2"/>
  <c r="C9" i="2" l="1"/>
  <c r="C10" i="2" s="1"/>
  <c r="C14" i="2" l="1"/>
  <c r="C15" i="2"/>
  <c r="D15" i="2" s="1"/>
  <c r="C16" i="2"/>
  <c r="D16" i="2" s="1"/>
  <c r="C17" i="2"/>
  <c r="D17" i="2" s="1"/>
  <c r="C18" i="2"/>
  <c r="D18" i="2" l="1"/>
  <c r="D19" i="2"/>
  <c r="G6" i="1" l="1"/>
  <c r="G5" i="1"/>
  <c r="G8" i="1" s="1"/>
  <c r="I5" i="1"/>
  <c r="K6" i="1"/>
  <c r="I6" i="1"/>
  <c r="E6" i="1"/>
  <c r="I8" i="1" l="1"/>
  <c r="K5" i="1"/>
  <c r="K8" i="1" s="1"/>
  <c r="K11" i="1" s="1"/>
  <c r="E5" i="1"/>
  <c r="E8" i="1" s="1"/>
  <c r="D56" i="1"/>
  <c r="E38" i="2"/>
  <c r="I11" i="1"/>
  <c r="I12" i="1" s="1"/>
  <c r="I14" i="1" s="1"/>
  <c r="G11" i="1"/>
  <c r="G12" i="1" s="1"/>
  <c r="G14" i="1" s="1"/>
  <c r="D55" i="1"/>
  <c r="E38" i="1" l="1"/>
  <c r="E18" i="1"/>
  <c r="E28" i="1"/>
  <c r="E29" i="1" s="1"/>
  <c r="E30" i="1" s="1"/>
  <c r="D57" i="1"/>
  <c r="Q34" i="2"/>
  <c r="D54" i="1"/>
  <c r="E12" i="1"/>
  <c r="D71" i="1"/>
  <c r="D80" i="1"/>
  <c r="E6" i="2"/>
  <c r="G6" i="2" s="1"/>
  <c r="E55" i="1"/>
  <c r="E8" i="2"/>
  <c r="G8" i="2" s="1"/>
  <c r="E57" i="1"/>
  <c r="D72" i="1"/>
  <c r="D63" i="1"/>
  <c r="M6" i="1"/>
  <c r="M5" i="1"/>
  <c r="D73" i="1"/>
  <c r="G43" i="1"/>
  <c r="M6" i="2" s="1"/>
  <c r="D79" i="1"/>
  <c r="D64" i="1"/>
  <c r="D81" i="1"/>
  <c r="D65" i="1"/>
  <c r="E56" i="1"/>
  <c r="E7" i="2"/>
  <c r="G7" i="2" s="1"/>
  <c r="E39" i="1" l="1"/>
  <c r="E40" i="1" s="1"/>
  <c r="E43" i="1" s="1"/>
  <c r="E19" i="1"/>
  <c r="E20" i="1" s="1"/>
  <c r="D62" i="1"/>
  <c r="M8" i="1"/>
  <c r="M11" i="1" s="1"/>
  <c r="D70" i="1"/>
  <c r="G5" i="2"/>
  <c r="E54" i="1"/>
  <c r="D78" i="1"/>
  <c r="G33" i="1"/>
  <c r="G34" i="1"/>
  <c r="G44" i="1"/>
  <c r="I34" i="1"/>
  <c r="I33" i="1"/>
  <c r="I44" i="1"/>
  <c r="I43" i="1"/>
  <c r="K24" i="1"/>
  <c r="K23" i="1"/>
  <c r="I24" i="1"/>
  <c r="I23" i="1"/>
  <c r="K33" i="1"/>
  <c r="K34" i="1"/>
  <c r="E34" i="1"/>
  <c r="E33" i="1"/>
  <c r="K44" i="1"/>
  <c r="K43" i="1"/>
  <c r="G23" i="1"/>
  <c r="G24" i="1"/>
  <c r="E24" i="1" l="1"/>
  <c r="D58" i="1"/>
  <c r="E44" i="1"/>
  <c r="E78" i="1"/>
  <c r="E70" i="1"/>
  <c r="K5" i="2"/>
  <c r="M7" i="2"/>
  <c r="E80" i="1"/>
  <c r="D82" i="1"/>
  <c r="E72" i="1"/>
  <c r="K7" i="2"/>
  <c r="E9" i="2"/>
  <c r="G9" i="2" s="1"/>
  <c r="G10" i="2" s="1"/>
  <c r="E14" i="2" s="1"/>
  <c r="C25" i="2" s="1"/>
  <c r="E58" i="1"/>
  <c r="E73" i="1"/>
  <c r="K8" i="2"/>
  <c r="M19" i="1"/>
  <c r="D66" i="1"/>
  <c r="I7" i="2"/>
  <c r="E64" i="1"/>
  <c r="E62" i="1"/>
  <c r="I5" i="2"/>
  <c r="E63" i="1"/>
  <c r="I6" i="2"/>
  <c r="D74" i="1"/>
  <c r="E71" i="1"/>
  <c r="K6" i="2"/>
  <c r="E81" i="1"/>
  <c r="M8" i="2"/>
  <c r="E65" i="1"/>
  <c r="I8" i="2"/>
  <c r="E79" i="1"/>
  <c r="I14" i="2" l="1"/>
  <c r="M20" i="1"/>
  <c r="M24" i="1" s="1"/>
  <c r="M5" i="2"/>
  <c r="M44" i="1"/>
  <c r="M43" i="1"/>
  <c r="M34" i="1"/>
  <c r="M33" i="1"/>
  <c r="M23" i="1" l="1"/>
  <c r="E82" i="1"/>
  <c r="M9" i="2"/>
  <c r="M10" i="2" s="1"/>
  <c r="H15" i="2" s="1"/>
  <c r="L26" i="2" s="1"/>
  <c r="E16" i="2"/>
  <c r="E15" i="2"/>
  <c r="E17" i="2"/>
  <c r="E18" i="2"/>
  <c r="I9" i="2"/>
  <c r="E66" i="1"/>
  <c r="E74" i="1"/>
  <c r="K9" i="2"/>
  <c r="H17" i="2" l="1"/>
  <c r="I10" i="2"/>
  <c r="F18" i="2" s="1"/>
  <c r="C29" i="2"/>
  <c r="I18" i="2"/>
  <c r="I17" i="2"/>
  <c r="C28" i="2"/>
  <c r="C26" i="2"/>
  <c r="I15" i="2"/>
  <c r="K10" i="2"/>
  <c r="C27" i="2"/>
  <c r="I16" i="2"/>
  <c r="I19" i="2" l="1"/>
  <c r="H35" i="2" s="1"/>
  <c r="J18" i="2"/>
  <c r="F29" i="2"/>
  <c r="H16" i="2"/>
  <c r="H14" i="2"/>
  <c r="L25" i="2" s="1"/>
  <c r="H18" i="2"/>
  <c r="L29" i="2" s="1"/>
  <c r="C30" i="2"/>
  <c r="K35" i="2" s="1"/>
  <c r="G14" i="2"/>
  <c r="I25" i="2" s="1"/>
  <c r="G15" i="2"/>
  <c r="G17" i="2"/>
  <c r="G16" i="2"/>
  <c r="G18" i="2"/>
  <c r="F14" i="2"/>
  <c r="F15" i="2"/>
  <c r="F17" i="2"/>
  <c r="F16" i="2"/>
  <c r="F25" i="2" l="1"/>
  <c r="J14" i="2"/>
  <c r="K14" i="2"/>
  <c r="F28" i="2"/>
  <c r="J17" i="2"/>
  <c r="J15" i="2"/>
  <c r="F26" i="2"/>
  <c r="L18" i="2"/>
  <c r="L28" i="2"/>
  <c r="L17" i="2"/>
  <c r="K18" i="2"/>
  <c r="I29" i="2"/>
  <c r="L14" i="2"/>
  <c r="I27" i="2"/>
  <c r="K16" i="2"/>
  <c r="L15" i="2"/>
  <c r="I28" i="2"/>
  <c r="K17" i="2"/>
  <c r="L27" i="2"/>
  <c r="L30" i="2" s="1"/>
  <c r="L16" i="2"/>
  <c r="I26" i="2"/>
  <c r="K15" i="2"/>
  <c r="J16" i="2"/>
  <c r="F27" i="2"/>
  <c r="L19" i="2" l="1"/>
  <c r="K38" i="2"/>
  <c r="F30" i="2"/>
  <c r="K36" i="2" s="1"/>
  <c r="K19" i="2"/>
  <c r="H37" i="2" s="1"/>
  <c r="H38" i="2"/>
  <c r="J19" i="2"/>
  <c r="H36" i="2" s="1"/>
  <c r="I30" i="2"/>
  <c r="K37" i="2" s="1"/>
</calcChain>
</file>

<file path=xl/sharedStrings.xml><?xml version="1.0" encoding="utf-8"?>
<sst xmlns="http://schemas.openxmlformats.org/spreadsheetml/2006/main" count="131" uniqueCount="77">
  <si>
    <t>Rendimiento de mercado</t>
  </si>
  <si>
    <t>Menos costos fijos</t>
  </si>
  <si>
    <t>EBIT</t>
  </si>
  <si>
    <t>Caso 1: Ausencia de deudas</t>
  </si>
  <si>
    <t>Ingreso neto</t>
  </si>
  <si>
    <t>Activos</t>
  </si>
  <si>
    <t>EBT</t>
  </si>
  <si>
    <t>Deudas</t>
  </si>
  <si>
    <t>ROE</t>
  </si>
  <si>
    <t>Pésimo</t>
  </si>
  <si>
    <t>Malo</t>
  </si>
  <si>
    <t>Promedio</t>
  </si>
  <si>
    <t>Bueno</t>
  </si>
  <si>
    <t>Excelente</t>
  </si>
  <si>
    <t>Estado de la 
Naturaleza</t>
  </si>
  <si>
    <t>Rendimiento de los activos</t>
  </si>
  <si>
    <t>ROE para varias razones D/E</t>
  </si>
  <si>
    <t>Rendimiento 
de mercado</t>
  </si>
  <si>
    <t>Principales diferencias de las razones D/E</t>
  </si>
  <si>
    <t>Medidas de las diferencias 
elevadas al cuadrado</t>
  </si>
  <si>
    <t>D/E = 0.25</t>
  </si>
  <si>
    <t>D/E = 1.0</t>
  </si>
  <si>
    <t>D/E = 4.0</t>
  </si>
  <si>
    <t>D/E = 0</t>
  </si>
  <si>
    <t>Razón D/E</t>
  </si>
  <si>
    <t>D/E =</t>
  </si>
  <si>
    <t>Desviación estándar
 del ROE</t>
  </si>
  <si>
    <t>Cálculos de covarianza</t>
  </si>
  <si>
    <r>
      <t>Beta = COV(ROE, R</t>
    </r>
    <r>
      <rPr>
        <b/>
        <vertAlign val="subscript"/>
        <sz val="11"/>
        <color theme="1"/>
        <rFont val="Calibri"/>
        <family val="2"/>
        <scheme val="minor"/>
      </rPr>
      <t>M</t>
    </r>
    <r>
      <rPr>
        <b/>
        <sz val="11"/>
        <color theme="1"/>
        <rFont val="Calibri"/>
        <family val="2"/>
        <scheme val="minor"/>
      </rPr>
      <t>) / VAR(R</t>
    </r>
    <r>
      <rPr>
        <b/>
        <vertAlign val="subscript"/>
        <sz val="11"/>
        <color theme="1"/>
        <rFont val="Calibri"/>
        <family val="2"/>
        <scheme val="minor"/>
      </rPr>
      <t>M</t>
    </r>
    <r>
      <rPr>
        <b/>
        <sz val="11"/>
        <color theme="1"/>
        <rFont val="Calibri"/>
        <family val="2"/>
        <scheme val="minor"/>
      </rPr>
      <t>)</t>
    </r>
  </si>
  <si>
    <t>Estado de la Naturaleza</t>
  </si>
  <si>
    <t>Activos:</t>
  </si>
  <si>
    <t>EBT: Ganancia después de impuestos</t>
  </si>
  <si>
    <t>ROE:</t>
  </si>
  <si>
    <t>Este ratio mide el rendimiento que obtienen los accionistas de los fondos invertidos en la sociedad; es decir, el ROE trata de medir la capacidad que tiene la empresa de remunerar a sus accionistas.</t>
  </si>
  <si>
    <t>Return On Equity = Beneficio Neto después de Impuestos / Capitales propios</t>
  </si>
  <si>
    <t>Impuestos</t>
  </si>
  <si>
    <t>Intereses</t>
  </si>
  <si>
    <t>Caso 1</t>
  </si>
  <si>
    <t>Caso 2</t>
  </si>
  <si>
    <t>Caso 3</t>
  </si>
  <si>
    <t>Caso 4</t>
  </si>
  <si>
    <t>D/E</t>
  </si>
  <si>
    <t>Unidades vendidas</t>
  </si>
  <si>
    <t>Ingreso por unidad</t>
  </si>
  <si>
    <t>por unidad</t>
  </si>
  <si>
    <t xml:space="preserve">Caso 2 : D/E = </t>
  </si>
  <si>
    <t xml:space="preserve">Caso 3: D/E = </t>
  </si>
  <si>
    <t xml:space="preserve">Caseo 4: D/E = </t>
  </si>
  <si>
    <t>ROA</t>
  </si>
  <si>
    <r>
      <t>R</t>
    </r>
    <r>
      <rPr>
        <vertAlign val="subscript"/>
        <sz val="11"/>
        <color theme="1"/>
        <rFont val="Calibri"/>
        <family val="2"/>
        <scheme val="minor"/>
      </rPr>
      <t>M    PROMEDIO</t>
    </r>
  </si>
  <si>
    <r>
      <t>(R</t>
    </r>
    <r>
      <rPr>
        <b/>
        <vertAlign val="subscript"/>
        <sz val="11"/>
        <color theme="1"/>
        <rFont val="MS Reference Sans Serif"/>
        <family val="2"/>
      </rPr>
      <t xml:space="preserve">M </t>
    </r>
    <r>
      <rPr>
        <b/>
        <sz val="11"/>
        <color theme="1"/>
        <rFont val="MS Reference Sans Serif"/>
        <family val="2"/>
      </rPr>
      <t>- R</t>
    </r>
    <r>
      <rPr>
        <b/>
        <vertAlign val="subscript"/>
        <sz val="11"/>
        <color theme="1"/>
        <rFont val="MS Reference Sans Serif"/>
        <family val="2"/>
      </rPr>
      <t>MP</t>
    </r>
    <r>
      <rPr>
        <b/>
        <sz val="11"/>
        <color theme="1"/>
        <rFont val="MS Reference Sans Serif"/>
        <family val="2"/>
      </rPr>
      <t>)</t>
    </r>
  </si>
  <si>
    <r>
      <t>(R</t>
    </r>
    <r>
      <rPr>
        <b/>
        <vertAlign val="subscript"/>
        <sz val="11"/>
        <color theme="1"/>
        <rFont val="MS Reference Sans Serif"/>
        <family val="2"/>
      </rPr>
      <t>M</t>
    </r>
    <r>
      <rPr>
        <b/>
        <sz val="11"/>
        <color theme="1"/>
        <rFont val="MS Reference Sans Serif"/>
        <family val="2"/>
      </rPr>
      <t xml:space="preserve"> - R</t>
    </r>
    <r>
      <rPr>
        <b/>
        <vertAlign val="subscript"/>
        <sz val="11"/>
        <color theme="1"/>
        <rFont val="MS Reference Sans Serif"/>
        <family val="2"/>
      </rPr>
      <t>MP</t>
    </r>
    <r>
      <rPr>
        <b/>
        <sz val="11"/>
        <color theme="1"/>
        <rFont val="MS Reference Sans Serif"/>
        <family val="2"/>
      </rPr>
      <t>)</t>
    </r>
    <r>
      <rPr>
        <b/>
        <vertAlign val="superscript"/>
        <sz val="11"/>
        <color theme="1"/>
        <rFont val="MS Reference Sans Serif"/>
        <family val="2"/>
      </rPr>
      <t>2</t>
    </r>
  </si>
  <si>
    <t>GRAFICO</t>
  </si>
  <si>
    <t>Costo Variable unitario</t>
  </si>
  <si>
    <t xml:space="preserve">Costo fijo </t>
  </si>
  <si>
    <t>mil</t>
  </si>
  <si>
    <t>millones</t>
  </si>
  <si>
    <t>Patrimonio</t>
  </si>
  <si>
    <t>Cuadro 1</t>
  </si>
  <si>
    <t>cuadro 2: escenarios de demanda</t>
  </si>
  <si>
    <t>EBIT*</t>
  </si>
  <si>
    <t>ROA = ROE*</t>
  </si>
  <si>
    <t>EBT*</t>
  </si>
  <si>
    <t xml:space="preserve">Tipo de cambio </t>
  </si>
  <si>
    <t>Miles de dolares</t>
  </si>
  <si>
    <t>DFL*en el estado
 promedio</t>
  </si>
  <si>
    <t>% de cambio del ingreso neto</t>
  </si>
  <si>
    <t xml:space="preserve">% de cambio del EBIT </t>
  </si>
  <si>
    <t>*Grado de apalancamiento financiero =</t>
  </si>
  <si>
    <t>*EBIT= (1)-(2)-(3)</t>
  </si>
  <si>
    <t>*EBT=EBIT- Intereses</t>
  </si>
  <si>
    <t>*ROA=Ingreso neto /Activo total</t>
  </si>
  <si>
    <t xml:space="preserve">*ROE=Ingreso Neto/Patrimonio </t>
  </si>
  <si>
    <t>Menos intereses</t>
  </si>
  <si>
    <t xml:space="preserve">Caso 2 :                       D/E = 0.25 </t>
  </si>
  <si>
    <t>Caso 3:                         D/E = 1</t>
  </si>
  <si>
    <t xml:space="preserve">Caso 4:                       D/E =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</si>
</sst>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0.0"/>
    <numFmt numFmtId="166" formatCode="0.00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MS Reference Sans Serif"/>
      <family val="2"/>
    </font>
    <font>
      <b/>
      <vertAlign val="subscript"/>
      <sz val="11"/>
      <color theme="1"/>
      <name val="MS Reference Sans Serif"/>
      <family val="2"/>
    </font>
    <font>
      <b/>
      <vertAlign val="superscript"/>
      <sz val="11"/>
      <color theme="1"/>
      <name val="MS Reference Sans Serif"/>
      <family val="2"/>
    </font>
    <font>
      <b/>
      <vertAlign val="subscript"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sz val="11"/>
      <color theme="5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0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9" fontId="0" fillId="0" borderId="0" xfId="1" applyFont="1" applyAlignment="1">
      <alignment vertical="center"/>
    </xf>
    <xf numFmtId="10" fontId="0" fillId="0" borderId="0" xfId="1" applyNumberFormat="1" applyFont="1" applyAlignment="1">
      <alignment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164" fontId="0" fillId="0" borderId="0" xfId="1" applyNumberFormat="1" applyFont="1"/>
    <xf numFmtId="164" fontId="0" fillId="0" borderId="0" xfId="1" applyNumberFormat="1" applyFont="1" applyAlignment="1">
      <alignment horizontal="center" vertical="center"/>
    </xf>
    <xf numFmtId="9" fontId="0" fillId="0" borderId="0" xfId="1" applyNumberFormat="1" applyFont="1" applyAlignment="1">
      <alignment horizontal="center" vertical="center"/>
    </xf>
    <xf numFmtId="166" fontId="0" fillId="0" borderId="0" xfId="0" applyNumberFormat="1"/>
    <xf numFmtId="166" fontId="0" fillId="0" borderId="0" xfId="1" applyNumberFormat="1" applyFont="1"/>
    <xf numFmtId="166" fontId="0" fillId="0" borderId="1" xfId="1" applyNumberFormat="1" applyFont="1" applyBorder="1"/>
    <xf numFmtId="165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0" fillId="0" borderId="3" xfId="0" applyBorder="1" applyAlignment="1">
      <alignment horizontal="center" vertical="center"/>
    </xf>
    <xf numFmtId="10" fontId="0" fillId="0" borderId="3" xfId="1" applyNumberFormat="1" applyFont="1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3" xfId="0" applyFill="1" applyBorder="1" applyAlignment="1">
      <alignment horizontal="left" vertical="center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 vertical="center"/>
    </xf>
    <xf numFmtId="10" fontId="0" fillId="0" borderId="0" xfId="0" applyNumberFormat="1" applyFont="1" applyAlignment="1">
      <alignment horizontal="center" vertical="center"/>
    </xf>
    <xf numFmtId="10" fontId="0" fillId="0" borderId="0" xfId="0" applyNumberFormat="1" applyAlignment="1">
      <alignment horizontal="center" vertical="center"/>
    </xf>
    <xf numFmtId="0" fontId="7" fillId="0" borderId="0" xfId="0" applyFont="1"/>
    <xf numFmtId="0" fontId="0" fillId="0" borderId="0" xfId="0" quotePrefix="1" applyAlignment="1">
      <alignment vertical="center"/>
    </xf>
    <xf numFmtId="0" fontId="0" fillId="0" borderId="1" xfId="0" quotePrefix="1" applyBorder="1" applyAlignment="1">
      <alignment vertical="center"/>
    </xf>
    <xf numFmtId="9" fontId="0" fillId="0" borderId="0" xfId="1" applyFont="1" applyAlignment="1">
      <alignment horizontal="center" vertical="center"/>
    </xf>
    <xf numFmtId="9" fontId="0" fillId="0" borderId="1" xfId="1" applyNumberFormat="1" applyFont="1" applyBorder="1" applyAlignment="1">
      <alignment horizontal="center" vertical="center"/>
    </xf>
    <xf numFmtId="166" fontId="0" fillId="0" borderId="1" xfId="0" applyNumberFormat="1" applyBorder="1"/>
    <xf numFmtId="164" fontId="0" fillId="0" borderId="1" xfId="1" applyNumberFormat="1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/>
    </xf>
    <xf numFmtId="10" fontId="0" fillId="0" borderId="3" xfId="0" applyNumberFormat="1" applyBorder="1" applyAlignment="1">
      <alignment horizontal="center"/>
    </xf>
    <xf numFmtId="0" fontId="2" fillId="0" borderId="0" xfId="0" applyFont="1"/>
    <xf numFmtId="1" fontId="0" fillId="0" borderId="0" xfId="0" applyNumberFormat="1"/>
    <xf numFmtId="9" fontId="0" fillId="0" borderId="3" xfId="1" applyNumberFormat="1" applyFont="1" applyBorder="1" applyAlignment="1">
      <alignment horizontal="center" vertical="center"/>
    </xf>
    <xf numFmtId="9" fontId="0" fillId="0" borderId="0" xfId="0" applyNumberFormat="1"/>
    <xf numFmtId="164" fontId="0" fillId="0" borderId="0" xfId="1" applyNumberFormat="1" applyFont="1" applyAlignment="1">
      <alignment vertical="center"/>
    </xf>
    <xf numFmtId="3" fontId="0" fillId="0" borderId="0" xfId="0" applyNumberFormat="1"/>
    <xf numFmtId="3" fontId="0" fillId="0" borderId="1" xfId="0" applyNumberFormat="1" applyBorder="1" applyAlignment="1">
      <alignment vertical="center"/>
    </xf>
    <xf numFmtId="3" fontId="0" fillId="0" borderId="0" xfId="0" applyNumberFormat="1" applyAlignment="1">
      <alignment vertical="center"/>
    </xf>
    <xf numFmtId="2" fontId="0" fillId="0" borderId="0" xfId="0" applyNumberFormat="1"/>
    <xf numFmtId="10" fontId="0" fillId="0" borderId="0" xfId="1" applyNumberFormat="1" applyFont="1"/>
    <xf numFmtId="3" fontId="0" fillId="0" borderId="3" xfId="0" applyNumberFormat="1" applyBorder="1"/>
    <xf numFmtId="3" fontId="0" fillId="0" borderId="3" xfId="0" applyNumberFormat="1" applyBorder="1" applyAlignment="1">
      <alignment horizontal="center" vertical="center"/>
    </xf>
    <xf numFmtId="0" fontId="0" fillId="0" borderId="0" xfId="0" applyAlignment="1">
      <alignment horizontal="center"/>
    </xf>
    <xf numFmtId="0" fontId="9" fillId="0" borderId="0" xfId="0" applyFont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0" xfId="0" applyFill="1" applyBorder="1" applyAlignment="1">
      <alignment horizontal="center"/>
    </xf>
    <xf numFmtId="9" fontId="0" fillId="0" borderId="0" xfId="0" applyNumberFormat="1" applyAlignment="1">
      <alignment horizontal="center" vertical="center"/>
    </xf>
    <xf numFmtId="2" fontId="0" fillId="0" borderId="3" xfId="0" applyNumberFormat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10" fontId="12" fillId="0" borderId="0" xfId="1" applyNumberFormat="1" applyFont="1" applyAlignment="1">
      <alignment horizontal="center" vertical="center"/>
    </xf>
    <xf numFmtId="3" fontId="12" fillId="0" borderId="1" xfId="0" applyNumberFormat="1" applyFont="1" applyBorder="1"/>
    <xf numFmtId="0" fontId="12" fillId="0" borderId="0" xfId="0" applyFont="1" applyAlignment="1">
      <alignment horizontal="center" vertical="center"/>
    </xf>
    <xf numFmtId="3" fontId="12" fillId="0" borderId="0" xfId="0" applyNumberFormat="1" applyFont="1"/>
    <xf numFmtId="10" fontId="12" fillId="0" borderId="0" xfId="1" applyNumberFormat="1" applyFont="1" applyAlignment="1">
      <alignment vertical="center"/>
    </xf>
    <xf numFmtId="0" fontId="2" fillId="0" borderId="1" xfId="0" applyFont="1" applyBorder="1" applyAlignment="1"/>
    <xf numFmtId="3" fontId="0" fillId="2" borderId="0" xfId="0" applyNumberFormat="1" applyFill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2" fontId="0" fillId="0" borderId="2" xfId="0" applyNumberFormat="1" applyBorder="1" applyAlignment="1">
      <alignment horizontal="center"/>
    </xf>
    <xf numFmtId="2" fontId="0" fillId="0" borderId="0" xfId="0" applyNumberFormat="1" applyAlignment="1">
      <alignment horizontal="center"/>
    </xf>
    <xf numFmtId="164" fontId="0" fillId="0" borderId="0" xfId="1" applyNumberFormat="1" applyFont="1" applyAlignment="1">
      <alignment horizontal="center"/>
    </xf>
    <xf numFmtId="164" fontId="0" fillId="0" borderId="1" xfId="1" applyNumberFormat="1" applyFont="1" applyBorder="1" applyAlignment="1">
      <alignment horizontal="center"/>
    </xf>
    <xf numFmtId="166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center" vertical="center" wrapText="1"/>
    </xf>
    <xf numFmtId="166" fontId="0" fillId="0" borderId="0" xfId="1" applyNumberFormat="1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" fontId="0" fillId="0" borderId="0" xfId="0" applyNumberFormat="1" applyAlignment="1">
      <alignment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D/E = 0</c:v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'TABLA 1'!$D$54:$D$58</c:f>
              <c:numCache>
                <c:formatCode>General</c:formatCode>
                <c:ptCount val="5"/>
                <c:pt idx="0">
                  <c:v>493750</c:v>
                </c:pt>
                <c:pt idx="1">
                  <c:v>681250</c:v>
                </c:pt>
                <c:pt idx="2">
                  <c:v>821875</c:v>
                </c:pt>
                <c:pt idx="3">
                  <c:v>868750</c:v>
                </c:pt>
                <c:pt idx="4">
                  <c:v>962500</c:v>
                </c:pt>
              </c:numCache>
            </c:numRef>
          </c:xVal>
          <c:yVal>
            <c:numRef>
              <c:f>'TABLA 1'!$E$54:$E$58</c:f>
              <c:numCache>
                <c:formatCode>0.00%</c:formatCode>
                <c:ptCount val="5"/>
                <c:pt idx="0">
                  <c:v>0.29225124622960219</c:v>
                </c:pt>
                <c:pt idx="1">
                  <c:v>0.40323273213957772</c:v>
                </c:pt>
                <c:pt idx="2">
                  <c:v>0.48646884657205935</c:v>
                </c:pt>
                <c:pt idx="3">
                  <c:v>0.51421421804955325</c:v>
                </c:pt>
                <c:pt idx="4">
                  <c:v>0.56970496100454104</c:v>
                </c:pt>
              </c:numCache>
            </c:numRef>
          </c:yVal>
          <c:smooth val="0"/>
        </c:ser>
        <c:ser>
          <c:idx val="1"/>
          <c:order val="1"/>
          <c:tx>
            <c:v>D/E = 0.25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'TABLA 1'!$D$62:$D$66</c:f>
              <c:numCache>
                <c:formatCode>General</c:formatCode>
                <c:ptCount val="5"/>
                <c:pt idx="0">
                  <c:v>477193.18437500001</c:v>
                </c:pt>
                <c:pt idx="1">
                  <c:v>664693.18437499995</c:v>
                </c:pt>
                <c:pt idx="2">
                  <c:v>805318.18437499995</c:v>
                </c:pt>
                <c:pt idx="3">
                  <c:v>852193.18437499995</c:v>
                </c:pt>
                <c:pt idx="4">
                  <c:v>945943.18437499995</c:v>
                </c:pt>
              </c:numCache>
            </c:numRef>
          </c:xVal>
          <c:yVal>
            <c:numRef>
              <c:f>'TABLA 1'!$E$62:$E$66</c:f>
              <c:numCache>
                <c:formatCode>0.00%</c:formatCode>
                <c:ptCount val="5"/>
                <c:pt idx="0">
                  <c:v>0.35306405778700273</c:v>
                </c:pt>
                <c:pt idx="1">
                  <c:v>0.4917909151744721</c:v>
                </c:pt>
                <c:pt idx="2">
                  <c:v>0.59583605821507413</c:v>
                </c:pt>
                <c:pt idx="3">
                  <c:v>0.63051777256194153</c:v>
                </c:pt>
                <c:pt idx="4">
                  <c:v>0.69988120125567621</c:v>
                </c:pt>
              </c:numCache>
            </c:numRef>
          </c:yVal>
          <c:smooth val="0"/>
        </c:ser>
        <c:ser>
          <c:idx val="2"/>
          <c:order val="2"/>
          <c:tx>
            <c:v>D/E = 1</c:v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'TABLA 1'!$D$70:$D$74</c:f>
              <c:numCache>
                <c:formatCode>General</c:formatCode>
                <c:ptCount val="5"/>
                <c:pt idx="0">
                  <c:v>434618.515625</c:v>
                </c:pt>
                <c:pt idx="1">
                  <c:v>622118.515625</c:v>
                </c:pt>
                <c:pt idx="2">
                  <c:v>762743.515625</c:v>
                </c:pt>
                <c:pt idx="3">
                  <c:v>809618.515625</c:v>
                </c:pt>
                <c:pt idx="4">
                  <c:v>903368.515625</c:v>
                </c:pt>
              </c:numCache>
            </c:numRef>
          </c:xVal>
          <c:yVal>
            <c:numRef>
              <c:f>'TABLA 1'!$E$70:$E$74</c:f>
              <c:numCache>
                <c:formatCode>0.00%</c:formatCode>
                <c:ptCount val="5"/>
                <c:pt idx="0">
                  <c:v>0.51450249245920443</c:v>
                </c:pt>
                <c:pt idx="1">
                  <c:v>0.73646546427915538</c:v>
                </c:pt>
                <c:pt idx="2">
                  <c:v>0.90293769314411876</c:v>
                </c:pt>
                <c:pt idx="3">
                  <c:v>0.95842843609910644</c:v>
                </c:pt>
                <c:pt idx="4">
                  <c:v>1.069409922009082</c:v>
                </c:pt>
              </c:numCache>
            </c:numRef>
          </c:yVal>
          <c:smooth val="0"/>
        </c:ser>
        <c:ser>
          <c:idx val="3"/>
          <c:order val="3"/>
          <c:tx>
            <c:v>D/E =4</c:v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'TABLA 1'!$D$78:$D$82</c:f>
              <c:numCache>
                <c:formatCode>General</c:formatCode>
                <c:ptCount val="5"/>
                <c:pt idx="0">
                  <c:v>351834.4375</c:v>
                </c:pt>
                <c:pt idx="1">
                  <c:v>539334.4375</c:v>
                </c:pt>
                <c:pt idx="2">
                  <c:v>679959.4375</c:v>
                </c:pt>
                <c:pt idx="3">
                  <c:v>726834.4375</c:v>
                </c:pt>
                <c:pt idx="4">
                  <c:v>820584.4375</c:v>
                </c:pt>
              </c:numCache>
            </c:numRef>
          </c:xVal>
          <c:yVal>
            <c:numRef>
              <c:f>'TABLA 1'!$E$78:$E$82</c:f>
              <c:numCache>
                <c:formatCode>0.00%</c:formatCode>
                <c:ptCount val="5"/>
                <c:pt idx="0">
                  <c:v>1.0412562311480111</c:v>
                </c:pt>
                <c:pt idx="1">
                  <c:v>1.5961636606978886</c:v>
                </c:pt>
                <c:pt idx="2">
                  <c:v>2.012344232860297</c:v>
                </c:pt>
                <c:pt idx="3">
                  <c:v>2.1510710902477661</c:v>
                </c:pt>
                <c:pt idx="4">
                  <c:v>2.4285248050227048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281792"/>
        <c:axId val="4282352"/>
      </c:scatterChart>
      <c:valAx>
        <c:axId val="42817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PE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4282352"/>
        <c:crosses val="autoZero"/>
        <c:crossBetween val="midCat"/>
      </c:valAx>
      <c:valAx>
        <c:axId val="42823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PE"/>
            </a:p>
          </c:txPr>
        </c:title>
        <c:numFmt formatCode="0.0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4281792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168088</xdr:colOff>
      <xdr:row>46</xdr:row>
      <xdr:rowOff>550207</xdr:rowOff>
    </xdr:from>
    <xdr:to>
      <xdr:col>17</xdr:col>
      <xdr:colOff>1019735</xdr:colOff>
      <xdr:row>68</xdr:row>
      <xdr:rowOff>89646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277584</xdr:colOff>
      <xdr:row>9</xdr:row>
      <xdr:rowOff>12247</xdr:rowOff>
    </xdr:from>
    <xdr:ext cx="443595" cy="259895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" name="CuadroTexto 1"/>
            <xdr:cNvSpPr txBox="1"/>
          </xdr:nvSpPr>
          <xdr:spPr>
            <a:xfrm>
              <a:off x="277584" y="2134961"/>
              <a:ext cx="443595" cy="259895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acc>
                      <m:accPr>
                        <m:chr m:val="̅"/>
                        <m:ctrlPr>
                          <a:rPr lang="es-PE" sz="1600" i="1">
                            <a:latin typeface="Cambria Math" panose="02040503050406030204" pitchFamily="18" charset="0"/>
                          </a:rPr>
                        </m:ctrlPr>
                      </m:accPr>
                      <m:e>
                        <m:sSub>
                          <m:sSubPr>
                            <m:ctrlPr>
                              <a:rPr lang="es-PE" sz="1600" i="1">
                                <a:latin typeface="Cambria Math" panose="02040503050406030204" pitchFamily="18" charset="0"/>
                              </a:rPr>
                            </m:ctrlPr>
                          </m:sSubPr>
                          <m:e>
                            <m:r>
                              <a:rPr lang="es-PE" sz="1600" b="0" i="1">
                                <a:latin typeface="Cambria Math" panose="02040503050406030204" pitchFamily="18" charset="0"/>
                              </a:rPr>
                              <m:t>𝑅</m:t>
                            </m:r>
                          </m:e>
                          <m:sub>
                            <m:r>
                              <a:rPr lang="es-PE" sz="1600" b="0" i="1">
                                <a:latin typeface="Cambria Math" panose="02040503050406030204" pitchFamily="18" charset="0"/>
                              </a:rPr>
                              <m:t>𝑀</m:t>
                            </m:r>
                          </m:sub>
                        </m:sSub>
                      </m:e>
                    </m:acc>
                  </m:oMath>
                </m:oMathPara>
              </a14:m>
              <a:endParaRPr lang="es-PE" sz="1100"/>
            </a:p>
          </xdr:txBody>
        </xdr:sp>
      </mc:Choice>
      <mc:Fallback xmlns="">
        <xdr:sp macro="" textlink="">
          <xdr:nvSpPr>
            <xdr:cNvPr id="2" name="CuadroTexto 1"/>
            <xdr:cNvSpPr txBox="1"/>
          </xdr:nvSpPr>
          <xdr:spPr>
            <a:xfrm>
              <a:off x="277584" y="2134961"/>
              <a:ext cx="443595" cy="259895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es-PE" sz="1600" i="0">
                  <a:latin typeface="Cambria Math" panose="02040503050406030204" pitchFamily="18" charset="0"/>
                </a:rPr>
                <a:t>(</a:t>
              </a:r>
              <a:r>
                <a:rPr lang="es-PE" sz="1600" b="0" i="0">
                  <a:latin typeface="Cambria Math" panose="02040503050406030204" pitchFamily="18" charset="0"/>
                </a:rPr>
                <a:t>𝑅_𝑀 ) ̅</a:t>
              </a:r>
              <a:endParaRPr lang="es-PE" sz="1100"/>
            </a:p>
          </xdr:txBody>
        </xdr:sp>
      </mc:Fallback>
    </mc:AlternateContent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2"/>
  <sheetViews>
    <sheetView zoomScale="80" zoomScaleNormal="80" workbookViewId="0">
      <selection activeCell="I8" sqref="I8"/>
    </sheetView>
  </sheetViews>
  <sheetFormatPr baseColWidth="10" defaultRowHeight="15" x14ac:dyDescent="0.25"/>
  <cols>
    <col min="2" max="2" width="24.28515625" customWidth="1"/>
    <col min="3" max="3" width="10" customWidth="1"/>
    <col min="4" max="4" width="11.28515625" bestFit="1" customWidth="1"/>
    <col min="6" max="6" width="3.7109375" customWidth="1"/>
    <col min="8" max="8" width="3.7109375" customWidth="1"/>
    <col min="10" max="10" width="3.7109375" customWidth="1"/>
    <col min="11" max="11" width="11.42578125" customWidth="1"/>
    <col min="12" max="12" width="3.7109375" customWidth="1"/>
    <col min="18" max="18" width="18.85546875" bestFit="1" customWidth="1"/>
    <col min="19" max="19" width="14.140625" customWidth="1"/>
    <col min="20" max="20" width="18.5703125" customWidth="1"/>
    <col min="27" max="27" width="31.140625" bestFit="1" customWidth="1"/>
    <col min="28" max="28" width="18.5703125" customWidth="1"/>
  </cols>
  <sheetData>
    <row r="1" spans="1:22" x14ac:dyDescent="0.25">
      <c r="B1" t="s">
        <v>64</v>
      </c>
      <c r="C1">
        <v>1000</v>
      </c>
    </row>
    <row r="2" spans="1:22" x14ac:dyDescent="0.25">
      <c r="E2" s="82" t="s">
        <v>29</v>
      </c>
      <c r="F2" s="82"/>
      <c r="G2" s="82"/>
      <c r="H2" s="82"/>
      <c r="I2" s="82"/>
      <c r="J2" s="82"/>
      <c r="K2" s="82"/>
      <c r="L2" s="82"/>
      <c r="M2" s="82"/>
      <c r="N2" s="84" t="s">
        <v>58</v>
      </c>
      <c r="R2" t="s">
        <v>63</v>
      </c>
      <c r="S2">
        <v>3.2</v>
      </c>
    </row>
    <row r="3" spans="1:22" x14ac:dyDescent="0.25">
      <c r="B3" s="6"/>
      <c r="C3" s="6"/>
      <c r="D3" s="6"/>
      <c r="E3" s="19" t="s">
        <v>9</v>
      </c>
      <c r="F3" s="19"/>
      <c r="G3" s="19" t="s">
        <v>10</v>
      </c>
      <c r="H3" s="19"/>
      <c r="I3" s="19" t="s">
        <v>11</v>
      </c>
      <c r="J3" s="19"/>
      <c r="K3" s="19" t="s">
        <v>12</v>
      </c>
      <c r="L3" s="19"/>
      <c r="M3" s="19" t="s">
        <v>13</v>
      </c>
      <c r="N3" s="84"/>
    </row>
    <row r="4" spans="1:22" x14ac:dyDescent="0.25">
      <c r="B4" s="37" t="s">
        <v>0</v>
      </c>
      <c r="C4" s="1"/>
      <c r="D4" s="1"/>
      <c r="E4" s="4">
        <v>-0.2</v>
      </c>
      <c r="F4" s="4"/>
      <c r="G4" s="4">
        <v>0</v>
      </c>
      <c r="H4" s="4"/>
      <c r="I4" s="4">
        <v>0.15</v>
      </c>
      <c r="J4" s="4"/>
      <c r="K4" s="54">
        <v>0.2</v>
      </c>
      <c r="L4" s="4"/>
      <c r="M4" s="4">
        <v>0.3</v>
      </c>
      <c r="N4" s="84"/>
      <c r="R4" t="s">
        <v>30</v>
      </c>
      <c r="S4" s="81">
        <f>T4/(S2*V6)</f>
        <v>1182629.6875</v>
      </c>
      <c r="T4" s="55">
        <v>3784415000</v>
      </c>
      <c r="U4" t="s">
        <v>56</v>
      </c>
    </row>
    <row r="5" spans="1:22" x14ac:dyDescent="0.25">
      <c r="A5" s="62">
        <v>1</v>
      </c>
      <c r="B5" s="69" t="s">
        <v>43</v>
      </c>
      <c r="C5" s="17">
        <f>S13</f>
        <v>1.25</v>
      </c>
      <c r="D5" s="2" t="s">
        <v>44</v>
      </c>
      <c r="E5" s="55">
        <f>$S$11*S13</f>
        <v>1000000</v>
      </c>
      <c r="F5" s="55"/>
      <c r="G5" s="55">
        <f>$S$10*S13</f>
        <v>1250000</v>
      </c>
      <c r="H5" s="55"/>
      <c r="I5" s="55">
        <f>$S$9*S13</f>
        <v>1437500</v>
      </c>
      <c r="J5" s="55"/>
      <c r="K5" s="55">
        <f>$S$8*S13</f>
        <v>1500000</v>
      </c>
      <c r="L5" s="55"/>
      <c r="M5" s="55">
        <f>$S$7*S13</f>
        <v>1625000</v>
      </c>
      <c r="N5" s="84"/>
    </row>
    <row r="6" spans="1:22" x14ac:dyDescent="0.25">
      <c r="A6" s="62">
        <v>2</v>
      </c>
      <c r="B6" s="69" t="s">
        <v>53</v>
      </c>
      <c r="C6" s="17">
        <f>S14</f>
        <v>0.3125</v>
      </c>
      <c r="D6" s="2" t="s">
        <v>44</v>
      </c>
      <c r="E6" s="55">
        <f>S11*$S$14</f>
        <v>250000</v>
      </c>
      <c r="F6" s="55"/>
      <c r="G6" s="55">
        <f>S10*$S$14</f>
        <v>312500</v>
      </c>
      <c r="H6" s="55"/>
      <c r="I6" s="55">
        <f>S9*$S$14</f>
        <v>359375</v>
      </c>
      <c r="J6" s="55"/>
      <c r="K6" s="55">
        <f>S8*$S$14</f>
        <v>375000</v>
      </c>
      <c r="L6" s="55"/>
      <c r="M6" s="55">
        <f>S7*$S$14</f>
        <v>406250</v>
      </c>
      <c r="N6" s="84"/>
      <c r="Q6" s="85" t="s">
        <v>59</v>
      </c>
      <c r="R6" s="83" t="s">
        <v>42</v>
      </c>
      <c r="S6" s="83"/>
      <c r="V6">
        <f>1000</f>
        <v>1000</v>
      </c>
    </row>
    <row r="7" spans="1:22" x14ac:dyDescent="0.25">
      <c r="A7" s="62">
        <v>3</v>
      </c>
      <c r="B7" s="36" t="s">
        <v>1</v>
      </c>
      <c r="C7" s="17"/>
      <c r="D7" s="2"/>
      <c r="E7" s="55">
        <f>$S$15</f>
        <v>256250</v>
      </c>
      <c r="F7" s="55"/>
      <c r="G7" s="55">
        <f>$S$15</f>
        <v>256250</v>
      </c>
      <c r="H7" s="55"/>
      <c r="I7" s="55">
        <f>$S$15</f>
        <v>256250</v>
      </c>
      <c r="J7" s="55"/>
      <c r="K7" s="55">
        <f>$S$15</f>
        <v>256250</v>
      </c>
      <c r="L7" s="55"/>
      <c r="M7" s="55">
        <f>$S$15</f>
        <v>256250</v>
      </c>
      <c r="N7" s="84"/>
      <c r="Q7" s="85"/>
      <c r="R7" s="30" t="s">
        <v>13</v>
      </c>
      <c r="S7" s="60">
        <f>(1+M4)*S10</f>
        <v>1300000</v>
      </c>
    </row>
    <row r="8" spans="1:22" x14ac:dyDescent="0.25">
      <c r="A8" s="66">
        <v>4</v>
      </c>
      <c r="B8" s="63" t="s">
        <v>60</v>
      </c>
      <c r="C8" s="17"/>
      <c r="D8" s="2"/>
      <c r="E8" s="55">
        <f>E5-E6-E7</f>
        <v>493750</v>
      </c>
      <c r="F8" s="55"/>
      <c r="G8" s="55">
        <f>G5-G6-G7</f>
        <v>681250</v>
      </c>
      <c r="H8" s="55"/>
      <c r="I8" s="55">
        <f>I5-I6-I7</f>
        <v>821875</v>
      </c>
      <c r="J8" s="55"/>
      <c r="K8" s="55">
        <f>K5-K6-K7</f>
        <v>868750</v>
      </c>
      <c r="L8" s="55"/>
      <c r="M8" s="55">
        <f>M5-M6-M7</f>
        <v>962500</v>
      </c>
      <c r="N8" s="84"/>
      <c r="Q8" s="85"/>
      <c r="R8" s="30" t="s">
        <v>12</v>
      </c>
      <c r="S8" s="60">
        <f>(1+K4)*S10</f>
        <v>1200000</v>
      </c>
    </row>
    <row r="9" spans="1:22" x14ac:dyDescent="0.25">
      <c r="B9" s="32"/>
      <c r="C9" s="17"/>
      <c r="D9" s="2"/>
      <c r="E9" s="2"/>
      <c r="F9" s="2"/>
      <c r="G9" s="2"/>
      <c r="H9" s="2"/>
      <c r="I9" s="2"/>
      <c r="J9" s="2"/>
      <c r="K9" s="2"/>
      <c r="L9" s="2"/>
      <c r="M9" s="2"/>
      <c r="N9" s="84"/>
      <c r="Q9" s="85"/>
      <c r="R9" s="30" t="s">
        <v>11</v>
      </c>
      <c r="S9" s="60">
        <f>S10*(1+I4)</f>
        <v>1150000</v>
      </c>
      <c r="U9" s="53"/>
    </row>
    <row r="10" spans="1:22" x14ac:dyDescent="0.25">
      <c r="B10" s="70" t="s">
        <v>3</v>
      </c>
      <c r="C10" s="71"/>
      <c r="D10" s="72"/>
      <c r="E10" s="73"/>
      <c r="F10" s="73"/>
      <c r="G10" s="73"/>
      <c r="H10" s="73"/>
      <c r="I10" s="73"/>
      <c r="J10" s="73"/>
      <c r="K10" s="73"/>
      <c r="L10" s="73"/>
      <c r="M10" s="73"/>
      <c r="Q10" s="85"/>
      <c r="R10" s="30" t="s">
        <v>10</v>
      </c>
      <c r="S10" s="60">
        <v>1000000</v>
      </c>
      <c r="T10" s="55">
        <v>1000000</v>
      </c>
    </row>
    <row r="11" spans="1:22" x14ac:dyDescent="0.25">
      <c r="B11" s="74" t="s">
        <v>35</v>
      </c>
      <c r="C11" s="75">
        <f>U18</f>
        <v>0.3</v>
      </c>
      <c r="D11" s="73"/>
      <c r="E11" s="76">
        <f>E8*$U$18</f>
        <v>148125</v>
      </c>
      <c r="F11" s="73"/>
      <c r="G11" s="76">
        <f>G8*$U$18</f>
        <v>204375</v>
      </c>
      <c r="H11" s="73"/>
      <c r="I11" s="76">
        <f>I8*$U$18</f>
        <v>246562.5</v>
      </c>
      <c r="J11" s="73"/>
      <c r="K11" s="76">
        <f>K8*$U$18</f>
        <v>260625</v>
      </c>
      <c r="L11" s="73"/>
      <c r="M11" s="76">
        <f>M8*$U$18</f>
        <v>288750</v>
      </c>
      <c r="Q11" s="85"/>
      <c r="R11" s="30" t="s">
        <v>9</v>
      </c>
      <c r="S11" s="60">
        <f>S10*(1+E4)</f>
        <v>800000</v>
      </c>
      <c r="V11" s="55">
        <f>S4</f>
        <v>1182629.6875</v>
      </c>
    </row>
    <row r="12" spans="1:22" x14ac:dyDescent="0.25">
      <c r="B12" s="74" t="s">
        <v>4</v>
      </c>
      <c r="C12" s="77"/>
      <c r="D12" s="73"/>
      <c r="E12" s="78">
        <f>E8-E11</f>
        <v>345625</v>
      </c>
      <c r="F12" s="78"/>
      <c r="G12" s="78">
        <f>G8-G11</f>
        <v>476875</v>
      </c>
      <c r="H12" s="78"/>
      <c r="I12" s="78">
        <f>I8-I11</f>
        <v>575312.5</v>
      </c>
      <c r="J12" s="78"/>
      <c r="K12" s="78">
        <f>K8-K11</f>
        <v>608125</v>
      </c>
      <c r="L12" s="78"/>
      <c r="M12" s="78">
        <f>M8-M11</f>
        <v>673750</v>
      </c>
    </row>
    <row r="13" spans="1:22" x14ac:dyDescent="0.25">
      <c r="B13" s="74" t="s">
        <v>5</v>
      </c>
      <c r="C13" s="77"/>
      <c r="D13" s="73"/>
      <c r="E13" s="78">
        <f>$S$4</f>
        <v>1182629.6875</v>
      </c>
      <c r="F13" s="78"/>
      <c r="G13" s="78">
        <f>$S$4</f>
        <v>1182629.6875</v>
      </c>
      <c r="H13" s="78"/>
      <c r="I13" s="78">
        <f>$S$4</f>
        <v>1182629.6875</v>
      </c>
      <c r="J13" s="78"/>
      <c r="K13" s="78">
        <f>$S$4</f>
        <v>1182629.6875</v>
      </c>
      <c r="L13" s="78"/>
      <c r="M13" s="78">
        <f>$S$4</f>
        <v>1182629.6875</v>
      </c>
      <c r="R13" s="31" t="s">
        <v>43</v>
      </c>
      <c r="S13" s="28">
        <f>4/S2</f>
        <v>1.25</v>
      </c>
    </row>
    <row r="14" spans="1:22" x14ac:dyDescent="0.25">
      <c r="B14" s="74" t="s">
        <v>61</v>
      </c>
      <c r="C14" s="77"/>
      <c r="D14" s="73"/>
      <c r="E14" s="79">
        <f>E12/E13</f>
        <v>0.29225124622960219</v>
      </c>
      <c r="F14" s="73"/>
      <c r="G14" s="79">
        <f>G12/G13</f>
        <v>0.40323273213957772</v>
      </c>
      <c r="H14" s="73"/>
      <c r="I14" s="79">
        <f>I12/I13</f>
        <v>0.48646884657205935</v>
      </c>
      <c r="J14" s="73"/>
      <c r="K14" s="79">
        <f>K12/K13</f>
        <v>0.51421421804955325</v>
      </c>
      <c r="L14" s="73"/>
      <c r="M14" s="79">
        <f>M12/M13</f>
        <v>0.56970496100454104</v>
      </c>
      <c r="R14" s="31" t="s">
        <v>53</v>
      </c>
      <c r="S14" s="68">
        <f>1/S2</f>
        <v>0.3125</v>
      </c>
    </row>
    <row r="15" spans="1:22" x14ac:dyDescent="0.25">
      <c r="B15" s="32"/>
      <c r="C15" s="17"/>
      <c r="D15" s="2"/>
      <c r="E15" s="2"/>
      <c r="F15" s="2"/>
      <c r="G15" s="2"/>
      <c r="H15" s="2"/>
      <c r="I15" s="2"/>
      <c r="J15" s="2"/>
      <c r="K15" s="2"/>
      <c r="L15" s="2"/>
      <c r="M15" s="2"/>
      <c r="R15" s="31" t="s">
        <v>54</v>
      </c>
      <c r="S15" s="61">
        <f>820000/S2</f>
        <v>256250</v>
      </c>
      <c r="T15" t="s">
        <v>55</v>
      </c>
    </row>
    <row r="16" spans="1:22" x14ac:dyDescent="0.25">
      <c r="B16" s="37" t="s">
        <v>74</v>
      </c>
      <c r="C16" s="33">
        <f>S19</f>
        <v>0.25</v>
      </c>
      <c r="D16" s="1"/>
      <c r="E16" s="99"/>
      <c r="F16" s="2"/>
      <c r="G16" s="2"/>
      <c r="H16" s="2"/>
      <c r="I16" s="2"/>
      <c r="J16" s="2"/>
      <c r="K16" s="2"/>
      <c r="L16" s="2"/>
      <c r="M16" s="2"/>
    </row>
    <row r="17" spans="2:21" x14ac:dyDescent="0.25">
      <c r="B17" s="35" t="s">
        <v>73</v>
      </c>
      <c r="C17" s="38">
        <f>T19</f>
        <v>7.0000000000000007E-2</v>
      </c>
      <c r="D17" s="3"/>
      <c r="E17" s="56">
        <f>$C$17*(($S$4/($C$16+1))*$C$16)</f>
        <v>16556.815625000003</v>
      </c>
      <c r="F17" s="57"/>
      <c r="G17" s="56">
        <f>$C$17*(($S$4/($C$16+1))*$C$16)</f>
        <v>16556.815625000003</v>
      </c>
      <c r="H17" s="57"/>
      <c r="I17" s="56">
        <f>$C$17*(($S$4/($C$16+1))*$C$16)</f>
        <v>16556.815625000003</v>
      </c>
      <c r="J17" s="57"/>
      <c r="K17" s="56">
        <f>$C$17*(($S$4/($C$16+1))*$C$16)</f>
        <v>16556.815625000003</v>
      </c>
      <c r="L17" s="57"/>
      <c r="M17" s="56">
        <f>$C$17*(($S$4/($C$16+1))*$C$16)</f>
        <v>16556.815625000003</v>
      </c>
      <c r="S17" s="28" t="s">
        <v>41</v>
      </c>
      <c r="T17" s="28" t="s">
        <v>36</v>
      </c>
      <c r="U17" s="28" t="s">
        <v>35</v>
      </c>
    </row>
    <row r="18" spans="2:21" x14ac:dyDescent="0.25">
      <c r="B18" s="63" t="s">
        <v>62</v>
      </c>
      <c r="C18" s="17"/>
      <c r="D18" s="2"/>
      <c r="E18" s="57">
        <f>E8-E17</f>
        <v>477193.18437500001</v>
      </c>
      <c r="F18" s="57"/>
      <c r="G18" s="57">
        <f>G8-G17</f>
        <v>664693.18437499995</v>
      </c>
      <c r="H18" s="57"/>
      <c r="I18" s="57">
        <f>I8-I17</f>
        <v>805318.18437499995</v>
      </c>
      <c r="J18" s="57"/>
      <c r="K18" s="57">
        <f>K8-K17</f>
        <v>852193.18437499995</v>
      </c>
      <c r="L18" s="57"/>
      <c r="M18" s="57">
        <f>M8-M17</f>
        <v>945943.18437499995</v>
      </c>
      <c r="R18" s="28" t="s">
        <v>37</v>
      </c>
      <c r="S18" s="28">
        <v>0</v>
      </c>
      <c r="T18" s="29">
        <v>0</v>
      </c>
      <c r="U18" s="52">
        <v>0.3</v>
      </c>
    </row>
    <row r="19" spans="2:21" x14ac:dyDescent="0.25">
      <c r="B19" s="35" t="s">
        <v>35</v>
      </c>
      <c r="C19" s="39">
        <f>U19</f>
        <v>0.3</v>
      </c>
      <c r="D19" s="2"/>
      <c r="E19" s="56">
        <f>E18*$U$19</f>
        <v>143157.95531250001</v>
      </c>
      <c r="F19" s="57"/>
      <c r="G19" s="56">
        <f>G18*$U$19</f>
        <v>199407.95531249998</v>
      </c>
      <c r="H19" s="57"/>
      <c r="I19" s="56">
        <f>I18*$U$19</f>
        <v>241595.45531249998</v>
      </c>
      <c r="J19" s="57"/>
      <c r="K19" s="56">
        <f>K18*$U$19</f>
        <v>255657.95531249998</v>
      </c>
      <c r="L19" s="57"/>
      <c r="M19" s="56">
        <f>M18*$U$19</f>
        <v>283782.95531249995</v>
      </c>
      <c r="R19" s="28" t="s">
        <v>38</v>
      </c>
      <c r="S19" s="28">
        <v>0.25</v>
      </c>
      <c r="T19" s="29">
        <v>7.0000000000000007E-2</v>
      </c>
      <c r="U19" s="52">
        <v>0.3</v>
      </c>
    </row>
    <row r="20" spans="2:21" x14ac:dyDescent="0.25">
      <c r="B20" s="36" t="s">
        <v>4</v>
      </c>
      <c r="C20" s="17"/>
      <c r="D20" s="2"/>
      <c r="E20" s="55">
        <f>E18-E19</f>
        <v>334035.2290625</v>
      </c>
      <c r="F20" s="55"/>
      <c r="G20" s="55">
        <f>G18-G19</f>
        <v>465285.22906249994</v>
      </c>
      <c r="H20" s="55"/>
      <c r="I20" s="55">
        <f>I18-I19</f>
        <v>563722.72906249994</v>
      </c>
      <c r="J20" s="55"/>
      <c r="K20" s="55">
        <f>K18-K19</f>
        <v>596535.22906249994</v>
      </c>
      <c r="L20" s="55"/>
      <c r="M20" s="55">
        <f>M18-M19</f>
        <v>662160.22906249994</v>
      </c>
      <c r="R20" s="28" t="s">
        <v>39</v>
      </c>
      <c r="S20" s="28">
        <v>1</v>
      </c>
      <c r="T20" s="29">
        <v>0.1</v>
      </c>
      <c r="U20" s="52">
        <v>0.3</v>
      </c>
    </row>
    <row r="21" spans="2:21" x14ac:dyDescent="0.25">
      <c r="B21" s="36" t="s">
        <v>7</v>
      </c>
      <c r="C21" s="17"/>
      <c r="D21" s="2"/>
      <c r="E21" s="55">
        <f>$S$4-E22</f>
        <v>236525.9375</v>
      </c>
      <c r="F21" s="55"/>
      <c r="G21" s="55">
        <f>$S$4-G22</f>
        <v>236525.9375</v>
      </c>
      <c r="H21" s="55"/>
      <c r="I21" s="55">
        <f>$S$4-I22</f>
        <v>236525.9375</v>
      </c>
      <c r="J21" s="55"/>
      <c r="K21" s="55">
        <f>$S$4-K22</f>
        <v>236525.9375</v>
      </c>
      <c r="L21" s="55"/>
      <c r="M21" s="55">
        <f>$S$4-M22</f>
        <v>236525.9375</v>
      </c>
      <c r="R21" s="28" t="s">
        <v>40</v>
      </c>
      <c r="S21" s="28">
        <v>4</v>
      </c>
      <c r="T21" s="29">
        <v>0.15</v>
      </c>
      <c r="U21" s="52">
        <v>0.3</v>
      </c>
    </row>
    <row r="22" spans="2:21" x14ac:dyDescent="0.25">
      <c r="B22" s="36" t="s">
        <v>57</v>
      </c>
      <c r="C22" s="17"/>
      <c r="D22" s="2"/>
      <c r="E22" s="55">
        <f>$S$4/(1+$C$16)</f>
        <v>946103.75</v>
      </c>
      <c r="F22" s="55"/>
      <c r="G22" s="55">
        <f>$S$4/(1+$C$16)</f>
        <v>946103.75</v>
      </c>
      <c r="H22" s="55"/>
      <c r="I22" s="55">
        <f>$S$4/(1+$C$16)</f>
        <v>946103.75</v>
      </c>
      <c r="J22" s="55"/>
      <c r="K22" s="55">
        <f>$S$4/(1+$C$16)</f>
        <v>946103.75</v>
      </c>
      <c r="L22" s="55"/>
      <c r="M22" s="55">
        <f>$S$4/(1+$C$16)</f>
        <v>946103.75</v>
      </c>
    </row>
    <row r="23" spans="2:21" x14ac:dyDescent="0.25">
      <c r="B23" s="36" t="s">
        <v>8</v>
      </c>
      <c r="C23" s="17"/>
      <c r="D23" s="2"/>
      <c r="E23" s="5">
        <f>E20/E22</f>
        <v>0.35306405778700273</v>
      </c>
      <c r="F23" s="2"/>
      <c r="G23" s="5">
        <f>G20/G22</f>
        <v>0.4917909151744721</v>
      </c>
      <c r="H23" s="2"/>
      <c r="I23" s="5">
        <f>I20/I22</f>
        <v>0.59583605821507413</v>
      </c>
      <c r="J23" s="2"/>
      <c r="K23" s="5">
        <f>K20/K22</f>
        <v>0.63051777256194153</v>
      </c>
      <c r="L23" s="2"/>
      <c r="M23" s="5">
        <f>M20/M22</f>
        <v>0.69988120125567621</v>
      </c>
      <c r="O23" s="58"/>
      <c r="Q23" s="40"/>
    </row>
    <row r="24" spans="2:21" x14ac:dyDescent="0.25">
      <c r="B24" s="36" t="s">
        <v>48</v>
      </c>
      <c r="C24" s="25"/>
      <c r="D24" s="2"/>
      <c r="E24" s="5">
        <f>E20/$S$4</f>
        <v>0.28245124622960222</v>
      </c>
      <c r="F24" s="2"/>
      <c r="G24" s="5">
        <f>G20/$S$4</f>
        <v>0.39343273213957769</v>
      </c>
      <c r="H24" s="2"/>
      <c r="I24" s="5">
        <f>I20/$S$4</f>
        <v>0.47666884657205932</v>
      </c>
      <c r="J24" s="2"/>
      <c r="K24" s="5">
        <f>K20/$S$4</f>
        <v>0.50441421804955322</v>
      </c>
      <c r="L24" s="2"/>
      <c r="M24" s="5">
        <f>M20/$S$4</f>
        <v>0.5599049610045409</v>
      </c>
    </row>
    <row r="25" spans="2:21" x14ac:dyDescent="0.25">
      <c r="B25" s="32"/>
      <c r="C25" s="17"/>
      <c r="D25" s="2"/>
      <c r="E25" s="2"/>
      <c r="F25" s="2"/>
      <c r="G25" s="2"/>
      <c r="H25" s="2"/>
      <c r="I25" s="2"/>
      <c r="J25" s="2"/>
      <c r="K25" s="2"/>
      <c r="L25" s="2"/>
      <c r="M25" s="2"/>
      <c r="Q25" s="40"/>
    </row>
    <row r="26" spans="2:21" x14ac:dyDescent="0.25">
      <c r="B26" s="37" t="s">
        <v>75</v>
      </c>
      <c r="C26" s="33">
        <f>S20</f>
        <v>1</v>
      </c>
      <c r="D26" s="1"/>
      <c r="E26" s="2"/>
      <c r="F26" s="2"/>
      <c r="G26" s="2"/>
      <c r="H26" s="2"/>
      <c r="I26" s="2"/>
      <c r="J26" s="2"/>
      <c r="K26" s="2"/>
      <c r="L26" s="2"/>
      <c r="M26" s="2"/>
    </row>
    <row r="27" spans="2:21" x14ac:dyDescent="0.25">
      <c r="B27" s="36" t="s">
        <v>36</v>
      </c>
      <c r="C27" s="39">
        <f>T20</f>
        <v>0.1</v>
      </c>
      <c r="D27" s="2"/>
      <c r="E27" s="56">
        <f>$C$27*(($S$4/($C$26+1))*$C$26)</f>
        <v>59131.484375</v>
      </c>
      <c r="F27" s="57"/>
      <c r="G27" s="56">
        <f>$C$27*(($S$4/($C$26+1))*$C$26)</f>
        <v>59131.484375</v>
      </c>
      <c r="H27" s="57"/>
      <c r="I27" s="56">
        <f>$C$27*(($S$4/($C$26+1))*$C$26)</f>
        <v>59131.484375</v>
      </c>
      <c r="J27" s="57"/>
      <c r="K27" s="56">
        <f>$C$27*(($S$4/($C$26+1))*$C$26)</f>
        <v>59131.484375</v>
      </c>
      <c r="L27" s="57"/>
      <c r="M27" s="56">
        <f>$C$27*(($S$4/($C$26+1))*$C$26)</f>
        <v>59131.484375</v>
      </c>
      <c r="T27">
        <f>S4</f>
        <v>1182629.6875</v>
      </c>
    </row>
    <row r="28" spans="2:21" x14ac:dyDescent="0.25">
      <c r="B28" s="36" t="s">
        <v>6</v>
      </c>
      <c r="C28" s="17"/>
      <c r="D28" s="2"/>
      <c r="E28" s="57">
        <f>E8-E27</f>
        <v>434618.515625</v>
      </c>
      <c r="F28" s="57"/>
      <c r="G28" s="57">
        <f>G8-G27</f>
        <v>622118.515625</v>
      </c>
      <c r="H28" s="57"/>
      <c r="I28" s="57">
        <f>I8-I27</f>
        <v>762743.515625</v>
      </c>
      <c r="J28" s="57"/>
      <c r="K28" s="57">
        <f>K8-K27</f>
        <v>809618.515625</v>
      </c>
      <c r="L28" s="57"/>
      <c r="M28" s="57">
        <f>M8-M27</f>
        <v>903368.515625</v>
      </c>
      <c r="Q28" t="s">
        <v>69</v>
      </c>
    </row>
    <row r="29" spans="2:21" x14ac:dyDescent="0.25">
      <c r="B29" s="35" t="s">
        <v>35</v>
      </c>
      <c r="C29" s="39">
        <f>U20</f>
        <v>0.3</v>
      </c>
      <c r="D29" s="2"/>
      <c r="E29" s="56">
        <f>E28*$U$20</f>
        <v>130385.5546875</v>
      </c>
      <c r="F29" s="57"/>
      <c r="G29" s="56">
        <f>G28*$U$20</f>
        <v>186635.5546875</v>
      </c>
      <c r="H29" s="57"/>
      <c r="I29" s="56">
        <f>I28*$U$20</f>
        <v>228823.0546875</v>
      </c>
      <c r="J29" s="57"/>
      <c r="K29" s="56">
        <f>K28*$U$20</f>
        <v>242885.5546875</v>
      </c>
      <c r="L29" s="57"/>
      <c r="M29" s="56">
        <f>M28*$U$20</f>
        <v>271010.5546875</v>
      </c>
      <c r="O29" s="51"/>
    </row>
    <row r="30" spans="2:21" x14ac:dyDescent="0.25">
      <c r="B30" s="36" t="s">
        <v>4</v>
      </c>
      <c r="C30" s="17"/>
      <c r="D30" s="2"/>
      <c r="E30" s="57">
        <f>E28-E29</f>
        <v>304232.9609375</v>
      </c>
      <c r="F30" s="57"/>
      <c r="G30" s="57">
        <f>G28-G29</f>
        <v>435482.9609375</v>
      </c>
      <c r="H30" s="57"/>
      <c r="I30" s="57">
        <f>I28-I29</f>
        <v>533920.4609375</v>
      </c>
      <c r="J30" s="57"/>
      <c r="K30" s="57">
        <f>K28-K29</f>
        <v>566732.9609375</v>
      </c>
      <c r="L30" s="57"/>
      <c r="M30" s="57">
        <f>M28-M29</f>
        <v>632357.9609375</v>
      </c>
      <c r="Q30" t="s">
        <v>70</v>
      </c>
    </row>
    <row r="31" spans="2:21" x14ac:dyDescent="0.25">
      <c r="B31" s="36" t="s">
        <v>7</v>
      </c>
      <c r="C31" s="17"/>
      <c r="D31" s="2"/>
      <c r="E31" s="57">
        <f>$S$4-E32</f>
        <v>591314.84375</v>
      </c>
      <c r="F31" s="57"/>
      <c r="G31" s="57">
        <f>$S$4-G32</f>
        <v>591314.84375</v>
      </c>
      <c r="H31" s="57"/>
      <c r="I31" s="57">
        <f>$S$4-I32</f>
        <v>591314.84375</v>
      </c>
      <c r="J31" s="57"/>
      <c r="K31" s="57">
        <f>$S$4-K32</f>
        <v>591314.84375</v>
      </c>
      <c r="L31" s="57"/>
      <c r="M31" s="57">
        <f>$S$4-M32</f>
        <v>591314.84375</v>
      </c>
      <c r="Q31" t="s">
        <v>71</v>
      </c>
    </row>
    <row r="32" spans="2:21" x14ac:dyDescent="0.25">
      <c r="B32" s="36" t="s">
        <v>57</v>
      </c>
      <c r="C32" s="17"/>
      <c r="D32" s="2"/>
      <c r="E32" s="57">
        <f>$S$4/(1+$C$26)</f>
        <v>591314.84375</v>
      </c>
      <c r="F32" s="57"/>
      <c r="G32" s="57">
        <f>$S$4/(1+$C$26)</f>
        <v>591314.84375</v>
      </c>
      <c r="H32" s="57"/>
      <c r="I32" s="57">
        <f>$S$4/(1+$C$26)</f>
        <v>591314.84375</v>
      </c>
      <c r="J32" s="57"/>
      <c r="K32" s="57">
        <f>$S$4/(1+$C$26)</f>
        <v>591314.84375</v>
      </c>
      <c r="L32" s="57"/>
      <c r="M32" s="57">
        <f>$S$4/(1+$C$26)</f>
        <v>591314.84375</v>
      </c>
      <c r="Q32" t="s">
        <v>72</v>
      </c>
    </row>
    <row r="33" spans="2:28" x14ac:dyDescent="0.25">
      <c r="B33" s="36" t="s">
        <v>8</v>
      </c>
      <c r="C33" s="17"/>
      <c r="D33" s="2"/>
      <c r="E33" s="5">
        <f>E30/E32</f>
        <v>0.51450249245920443</v>
      </c>
      <c r="F33" s="2"/>
      <c r="G33" s="5">
        <f>G30/G32</f>
        <v>0.73646546427915538</v>
      </c>
      <c r="H33" s="2"/>
      <c r="I33" s="5">
        <f>I30/I32</f>
        <v>0.90293769314411876</v>
      </c>
      <c r="J33" s="2"/>
      <c r="K33" s="5">
        <f>K30/K32</f>
        <v>0.95842843609910644</v>
      </c>
      <c r="L33" s="2"/>
      <c r="M33" s="5">
        <f>M30/M32</f>
        <v>1.069409922009082</v>
      </c>
    </row>
    <row r="34" spans="2:28" x14ac:dyDescent="0.25">
      <c r="B34" s="36" t="s">
        <v>48</v>
      </c>
      <c r="C34" s="25"/>
      <c r="D34" s="2"/>
      <c r="E34" s="5">
        <f>E30/$S$4</f>
        <v>0.25725124622960222</v>
      </c>
      <c r="F34" s="2"/>
      <c r="G34" s="5">
        <f>G30/$S$4</f>
        <v>0.36823273213957769</v>
      </c>
      <c r="H34" s="2"/>
      <c r="I34" s="5">
        <f>I30/$S$4</f>
        <v>0.45146884657205938</v>
      </c>
      <c r="J34" s="2"/>
      <c r="K34" s="5">
        <f>K30/$S$4</f>
        <v>0.47921421804955322</v>
      </c>
      <c r="L34" s="2"/>
      <c r="M34" s="5">
        <f>M30/$S$4</f>
        <v>0.53470496100454101</v>
      </c>
    </row>
    <row r="35" spans="2:28" x14ac:dyDescent="0.25">
      <c r="B35" s="32"/>
      <c r="C35" s="17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spans="2:28" x14ac:dyDescent="0.25">
      <c r="B36" s="37" t="s">
        <v>76</v>
      </c>
      <c r="C36" s="33">
        <f>S21</f>
        <v>4</v>
      </c>
      <c r="D36" s="1"/>
      <c r="E36" s="2"/>
      <c r="F36" s="2"/>
      <c r="G36" s="2"/>
      <c r="H36" s="2"/>
      <c r="I36" s="2"/>
      <c r="J36" s="2"/>
      <c r="K36" s="2"/>
      <c r="L36" s="2"/>
      <c r="M36" s="2"/>
    </row>
    <row r="37" spans="2:28" x14ac:dyDescent="0.25">
      <c r="B37" s="36" t="s">
        <v>36</v>
      </c>
      <c r="C37" s="38">
        <f>T21</f>
        <v>0.15</v>
      </c>
      <c r="D37" s="3"/>
      <c r="E37" s="56">
        <f>$C$37*(($S$4/($C$36+1))*$C$36)</f>
        <v>141915.5625</v>
      </c>
      <c r="F37" s="57"/>
      <c r="G37" s="56">
        <f>$C$37*(($S$4/($C$36+1))*$C$36)</f>
        <v>141915.5625</v>
      </c>
      <c r="H37" s="57"/>
      <c r="I37" s="56">
        <f>$C$37*(($S$4/($C$36+1))*$C$36)</f>
        <v>141915.5625</v>
      </c>
      <c r="J37" s="57"/>
      <c r="K37" s="56">
        <f>$C$37*(($S$4/($C$36+1))*$C$36)</f>
        <v>141915.5625</v>
      </c>
      <c r="L37" s="57"/>
      <c r="M37" s="56">
        <f>$C$37*(($S$4/($C$36+1))*$C$36)</f>
        <v>141915.5625</v>
      </c>
    </row>
    <row r="38" spans="2:28" x14ac:dyDescent="0.25">
      <c r="B38" s="35" t="s">
        <v>6</v>
      </c>
      <c r="C38" s="34"/>
      <c r="D38" s="3"/>
      <c r="E38" s="57">
        <f>E8-E37</f>
        <v>351834.4375</v>
      </c>
      <c r="F38" s="57"/>
      <c r="G38" s="57">
        <f>G8-G37</f>
        <v>539334.4375</v>
      </c>
      <c r="H38" s="57"/>
      <c r="I38" s="57">
        <f>I8-I37</f>
        <v>679959.4375</v>
      </c>
      <c r="J38" s="57"/>
      <c r="K38" s="57">
        <f>K8-K37</f>
        <v>726834.4375</v>
      </c>
      <c r="L38" s="57"/>
      <c r="M38" s="57">
        <f>M8-M37</f>
        <v>820584.4375</v>
      </c>
      <c r="S38" s="55"/>
      <c r="T38" s="53"/>
    </row>
    <row r="39" spans="2:28" x14ac:dyDescent="0.25">
      <c r="B39" s="35" t="s">
        <v>35</v>
      </c>
      <c r="C39" s="38">
        <f>U21</f>
        <v>0.3</v>
      </c>
      <c r="D39" s="3"/>
      <c r="E39" s="56">
        <f>E38*$U$21</f>
        <v>105550.33125</v>
      </c>
      <c r="F39" s="57"/>
      <c r="G39" s="56">
        <f>G38*$U$21</f>
        <v>161800.33124999999</v>
      </c>
      <c r="H39" s="57"/>
      <c r="I39" s="56">
        <f>I38*$U$21</f>
        <v>203987.83124999999</v>
      </c>
      <c r="J39" s="57"/>
      <c r="K39" s="56">
        <f>K38*$U$21</f>
        <v>218050.33124999999</v>
      </c>
      <c r="L39" s="57"/>
      <c r="M39" s="56">
        <f>M38*$U$21</f>
        <v>246175.33124999999</v>
      </c>
      <c r="S39" s="55"/>
      <c r="T39" s="53"/>
    </row>
    <row r="40" spans="2:28" x14ac:dyDescent="0.25">
      <c r="B40" s="35" t="s">
        <v>4</v>
      </c>
      <c r="C40" s="34"/>
      <c r="D40" s="3"/>
      <c r="E40" s="57">
        <f>E38-E39</f>
        <v>246284.10625000001</v>
      </c>
      <c r="F40" s="57"/>
      <c r="G40" s="57">
        <f>G38-G39</f>
        <v>377534.10625000001</v>
      </c>
      <c r="H40" s="57"/>
      <c r="I40" s="57">
        <f>I38-I39</f>
        <v>475971.60625000001</v>
      </c>
      <c r="J40" s="57"/>
      <c r="K40" s="57">
        <f>K38-K39</f>
        <v>508784.10625000001</v>
      </c>
      <c r="L40" s="57"/>
      <c r="M40" s="57">
        <f>M38-M39</f>
        <v>574409.10624999995</v>
      </c>
      <c r="S40" s="55"/>
      <c r="T40" s="53"/>
    </row>
    <row r="41" spans="2:28" x14ac:dyDescent="0.25">
      <c r="B41" s="35" t="s">
        <v>7</v>
      </c>
      <c r="C41" s="34"/>
      <c r="D41" s="3"/>
      <c r="E41" s="57">
        <f>$S$4-E42</f>
        <v>946103.75</v>
      </c>
      <c r="F41" s="57"/>
      <c r="G41" s="57">
        <f>$S$4-G42</f>
        <v>946103.75</v>
      </c>
      <c r="H41" s="57"/>
      <c r="I41" s="57">
        <f>$S$4-I42</f>
        <v>946103.75</v>
      </c>
      <c r="J41" s="57"/>
      <c r="K41" s="57">
        <f>$S$4-K42</f>
        <v>946103.75</v>
      </c>
      <c r="L41" s="57"/>
      <c r="M41" s="57">
        <f>$S$4-M42</f>
        <v>946103.75</v>
      </c>
      <c r="S41" s="55"/>
      <c r="T41" s="53"/>
    </row>
    <row r="42" spans="2:28" x14ac:dyDescent="0.25">
      <c r="B42" s="36" t="s">
        <v>57</v>
      </c>
      <c r="C42" s="34"/>
      <c r="D42" s="3"/>
      <c r="E42" s="57">
        <f>$S$4/(1+$C$36)</f>
        <v>236525.9375</v>
      </c>
      <c r="F42" s="57"/>
      <c r="G42" s="57">
        <f>$S$4/(1+$C$36)</f>
        <v>236525.9375</v>
      </c>
      <c r="H42" s="57"/>
      <c r="I42" s="57">
        <f>$S$4/(1+$C$36)</f>
        <v>236525.9375</v>
      </c>
      <c r="J42" s="57"/>
      <c r="K42" s="57">
        <f>$S$4/(1+$C$36)</f>
        <v>236525.9375</v>
      </c>
      <c r="L42" s="57"/>
      <c r="M42" s="57">
        <f>$S$4/(1+$C$36)</f>
        <v>236525.9375</v>
      </c>
      <c r="S42" s="55"/>
      <c r="T42" s="53"/>
    </row>
    <row r="43" spans="2:28" x14ac:dyDescent="0.25">
      <c r="B43" s="35" t="s">
        <v>8</v>
      </c>
      <c r="C43" s="34"/>
      <c r="D43" s="3"/>
      <c r="E43" s="5">
        <f>E40/E42</f>
        <v>1.0412562311480111</v>
      </c>
      <c r="F43" s="2"/>
      <c r="G43" s="5">
        <f>G40/G42</f>
        <v>1.5961636606978886</v>
      </c>
      <c r="H43" s="2"/>
      <c r="I43" s="5">
        <f>I40/I42</f>
        <v>2.012344232860297</v>
      </c>
      <c r="J43" s="2"/>
      <c r="K43" s="5">
        <f>K40/K42</f>
        <v>2.1510710902477661</v>
      </c>
      <c r="L43" s="2"/>
      <c r="M43" s="5">
        <f>M40/M42</f>
        <v>2.4285248050227048</v>
      </c>
    </row>
    <row r="44" spans="2:28" x14ac:dyDescent="0.25">
      <c r="B44" s="36" t="s">
        <v>48</v>
      </c>
      <c r="E44" s="59">
        <f>E40/$S$4</f>
        <v>0.2082512462296022</v>
      </c>
      <c r="F44" s="59"/>
      <c r="G44" s="59">
        <f>G40/$S$4</f>
        <v>0.3192327321395777</v>
      </c>
      <c r="H44" s="59"/>
      <c r="I44" s="59">
        <f>I40/$S$4</f>
        <v>0.40246884657205939</v>
      </c>
      <c r="J44" s="59"/>
      <c r="K44" s="59">
        <f>K40/$S$4</f>
        <v>0.43021421804955323</v>
      </c>
      <c r="L44" s="59"/>
      <c r="M44" s="59">
        <f>M40/$S$4</f>
        <v>0.48570496100454097</v>
      </c>
    </row>
    <row r="45" spans="2:28" x14ac:dyDescent="0.25">
      <c r="Z45" t="s">
        <v>31</v>
      </c>
    </row>
    <row r="47" spans="2:28" ht="60" customHeight="1" x14ac:dyDescent="0.25">
      <c r="Q47" s="2"/>
      <c r="Z47" s="2" t="s">
        <v>32</v>
      </c>
      <c r="AA47" s="26" t="s">
        <v>33</v>
      </c>
      <c r="AB47" s="27" t="s">
        <v>34</v>
      </c>
    </row>
    <row r="48" spans="2:28" x14ac:dyDescent="0.25">
      <c r="R48" s="26"/>
      <c r="S48" s="26"/>
      <c r="T48" s="27"/>
    </row>
    <row r="49" spans="2:5" x14ac:dyDescent="0.25">
      <c r="B49" s="50" t="s">
        <v>52</v>
      </c>
    </row>
    <row r="52" spans="2:5" x14ac:dyDescent="0.25">
      <c r="B52" s="37" t="s">
        <v>3</v>
      </c>
    </row>
    <row r="53" spans="2:5" x14ac:dyDescent="0.25">
      <c r="D53" s="47" t="s">
        <v>2</v>
      </c>
      <c r="E53" s="48" t="s">
        <v>8</v>
      </c>
    </row>
    <row r="54" spans="2:5" x14ac:dyDescent="0.25">
      <c r="D54" s="48">
        <f>E8</f>
        <v>493750</v>
      </c>
      <c r="E54" s="49">
        <f>E14</f>
        <v>0.29225124622960219</v>
      </c>
    </row>
    <row r="55" spans="2:5" x14ac:dyDescent="0.25">
      <c r="D55" s="48">
        <f>G8</f>
        <v>681250</v>
      </c>
      <c r="E55" s="49">
        <f>G14</f>
        <v>0.40323273213957772</v>
      </c>
    </row>
    <row r="56" spans="2:5" x14ac:dyDescent="0.25">
      <c r="D56" s="48">
        <f>I8</f>
        <v>821875</v>
      </c>
      <c r="E56" s="49">
        <f>I14</f>
        <v>0.48646884657205935</v>
      </c>
    </row>
    <row r="57" spans="2:5" x14ac:dyDescent="0.25">
      <c r="D57" s="48">
        <f>K8</f>
        <v>868750</v>
      </c>
      <c r="E57" s="49">
        <f>K14</f>
        <v>0.51421421804955325</v>
      </c>
    </row>
    <row r="58" spans="2:5" x14ac:dyDescent="0.25">
      <c r="D58" s="48">
        <f>M8</f>
        <v>962500</v>
      </c>
      <c r="E58" s="49">
        <f>M14</f>
        <v>0.56970496100454104</v>
      </c>
    </row>
    <row r="60" spans="2:5" x14ac:dyDescent="0.25">
      <c r="B60" s="37" t="s">
        <v>45</v>
      </c>
      <c r="C60" s="33">
        <f>C16</f>
        <v>0.25</v>
      </c>
    </row>
    <row r="61" spans="2:5" x14ac:dyDescent="0.25">
      <c r="D61" s="47" t="s">
        <v>6</v>
      </c>
      <c r="E61" s="48" t="s">
        <v>8</v>
      </c>
    </row>
    <row r="62" spans="2:5" x14ac:dyDescent="0.25">
      <c r="D62" s="48">
        <f>E18</f>
        <v>477193.18437500001</v>
      </c>
      <c r="E62" s="49">
        <f>E23</f>
        <v>0.35306405778700273</v>
      </c>
    </row>
    <row r="63" spans="2:5" x14ac:dyDescent="0.25">
      <c r="D63" s="48">
        <f>G18</f>
        <v>664693.18437499995</v>
      </c>
      <c r="E63" s="49">
        <f>G23</f>
        <v>0.4917909151744721</v>
      </c>
    </row>
    <row r="64" spans="2:5" x14ac:dyDescent="0.25">
      <c r="D64" s="48">
        <f>I18</f>
        <v>805318.18437499995</v>
      </c>
      <c r="E64" s="49">
        <f>I23</f>
        <v>0.59583605821507413</v>
      </c>
    </row>
    <row r="65" spans="2:5" x14ac:dyDescent="0.25">
      <c r="D65" s="48">
        <f>K18</f>
        <v>852193.18437499995</v>
      </c>
      <c r="E65" s="49">
        <f>K23</f>
        <v>0.63051777256194153</v>
      </c>
    </row>
    <row r="66" spans="2:5" x14ac:dyDescent="0.25">
      <c r="D66" s="48">
        <f>M18</f>
        <v>945943.18437499995</v>
      </c>
      <c r="E66" s="49">
        <f>M23</f>
        <v>0.69988120125567621</v>
      </c>
    </row>
    <row r="68" spans="2:5" x14ac:dyDescent="0.25">
      <c r="B68" s="37" t="s">
        <v>46</v>
      </c>
      <c r="C68" s="33">
        <f>C26</f>
        <v>1</v>
      </c>
    </row>
    <row r="69" spans="2:5" x14ac:dyDescent="0.25">
      <c r="D69" s="47" t="s">
        <v>6</v>
      </c>
      <c r="E69" s="48" t="s">
        <v>8</v>
      </c>
    </row>
    <row r="70" spans="2:5" x14ac:dyDescent="0.25">
      <c r="D70" s="48">
        <f>E28</f>
        <v>434618.515625</v>
      </c>
      <c r="E70" s="49">
        <f>E33</f>
        <v>0.51450249245920443</v>
      </c>
    </row>
    <row r="71" spans="2:5" x14ac:dyDescent="0.25">
      <c r="D71" s="48">
        <f>G28</f>
        <v>622118.515625</v>
      </c>
      <c r="E71" s="49">
        <f>G33</f>
        <v>0.73646546427915538</v>
      </c>
    </row>
    <row r="72" spans="2:5" x14ac:dyDescent="0.25">
      <c r="D72" s="48">
        <f>I28</f>
        <v>762743.515625</v>
      </c>
      <c r="E72" s="49">
        <f>I33</f>
        <v>0.90293769314411876</v>
      </c>
    </row>
    <row r="73" spans="2:5" x14ac:dyDescent="0.25">
      <c r="D73" s="48">
        <f>K28</f>
        <v>809618.515625</v>
      </c>
      <c r="E73" s="49">
        <f>K33</f>
        <v>0.95842843609910644</v>
      </c>
    </row>
    <row r="74" spans="2:5" x14ac:dyDescent="0.25">
      <c r="D74" s="48">
        <f>M28</f>
        <v>903368.515625</v>
      </c>
      <c r="E74" s="49">
        <f>M33</f>
        <v>1.069409922009082</v>
      </c>
    </row>
    <row r="76" spans="2:5" x14ac:dyDescent="0.25">
      <c r="B76" s="37" t="s">
        <v>47</v>
      </c>
      <c r="C76" s="33">
        <f>C36</f>
        <v>4</v>
      </c>
    </row>
    <row r="77" spans="2:5" x14ac:dyDescent="0.25">
      <c r="D77" s="47" t="s">
        <v>6</v>
      </c>
      <c r="E77" s="48" t="s">
        <v>8</v>
      </c>
    </row>
    <row r="78" spans="2:5" x14ac:dyDescent="0.25">
      <c r="D78" s="48">
        <f>E38</f>
        <v>351834.4375</v>
      </c>
      <c r="E78" s="49">
        <f>E43</f>
        <v>1.0412562311480111</v>
      </c>
    </row>
    <row r="79" spans="2:5" x14ac:dyDescent="0.25">
      <c r="D79" s="48">
        <f>G38</f>
        <v>539334.4375</v>
      </c>
      <c r="E79" s="49">
        <f>G43</f>
        <v>1.5961636606978886</v>
      </c>
    </row>
    <row r="80" spans="2:5" x14ac:dyDescent="0.25">
      <c r="D80" s="48">
        <f>I38</f>
        <v>679959.4375</v>
      </c>
      <c r="E80" s="49">
        <f>I43</f>
        <v>2.012344232860297</v>
      </c>
    </row>
    <row r="81" spans="4:5" x14ac:dyDescent="0.25">
      <c r="D81" s="48">
        <f>K38</f>
        <v>726834.4375</v>
      </c>
      <c r="E81" s="49">
        <f>K43</f>
        <v>2.1510710902477661</v>
      </c>
    </row>
    <row r="82" spans="4:5" x14ac:dyDescent="0.25">
      <c r="D82" s="48">
        <f>M38</f>
        <v>820584.4375</v>
      </c>
      <c r="E82" s="49">
        <f>M43</f>
        <v>2.4285248050227048</v>
      </c>
    </row>
  </sheetData>
  <mergeCells count="4">
    <mergeCell ref="E2:M2"/>
    <mergeCell ref="R6:S6"/>
    <mergeCell ref="N2:N9"/>
    <mergeCell ref="Q6:Q11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Q41"/>
  <sheetViews>
    <sheetView tabSelected="1" topLeftCell="A16" zoomScale="70" zoomScaleNormal="70" workbookViewId="0">
      <selection activeCell="E38" sqref="E38:F38"/>
    </sheetView>
  </sheetViews>
  <sheetFormatPr baseColWidth="10" defaultRowHeight="15" x14ac:dyDescent="0.25"/>
  <cols>
    <col min="2" max="2" width="16.42578125" customWidth="1"/>
    <col min="3" max="3" width="15.85546875" customWidth="1"/>
    <col min="4" max="4" width="13.7109375" customWidth="1"/>
    <col min="5" max="5" width="14.7109375" customWidth="1"/>
    <col min="6" max="6" width="11.42578125" customWidth="1"/>
    <col min="9" max="12" width="12.5703125" bestFit="1" customWidth="1"/>
  </cols>
  <sheetData>
    <row r="3" spans="2:13" x14ac:dyDescent="0.25">
      <c r="G3" s="80" t="s">
        <v>16</v>
      </c>
      <c r="H3" s="80"/>
      <c r="I3" s="80"/>
      <c r="J3" s="80"/>
      <c r="K3" s="80"/>
      <c r="L3" s="80"/>
      <c r="M3" s="80"/>
    </row>
    <row r="4" spans="2:13" ht="47.25" customHeight="1" x14ac:dyDescent="0.25">
      <c r="B4" s="18" t="s">
        <v>14</v>
      </c>
      <c r="C4" s="18" t="s">
        <v>17</v>
      </c>
      <c r="D4" s="19"/>
      <c r="E4" s="18" t="s">
        <v>15</v>
      </c>
      <c r="F4" s="19"/>
      <c r="G4" s="20">
        <f>'TABLA 1'!$S$18</f>
        <v>0</v>
      </c>
      <c r="H4" s="19"/>
      <c r="I4" s="19">
        <f>'TABLA 1'!$S$19</f>
        <v>0.25</v>
      </c>
      <c r="J4" s="19"/>
      <c r="K4" s="21">
        <f>'TABLA 1'!$S$20</f>
        <v>1</v>
      </c>
      <c r="L4" s="19"/>
      <c r="M4" s="21">
        <f>'TABLA 1'!$S$21</f>
        <v>4</v>
      </c>
    </row>
    <row r="5" spans="2:13" x14ac:dyDescent="0.25">
      <c r="B5" t="s">
        <v>9</v>
      </c>
      <c r="C5" s="12">
        <f>'TABLA 1'!E4</f>
        <v>-0.2</v>
      </c>
      <c r="D5" s="7"/>
      <c r="E5" s="11">
        <f>'TABLA 1'!$E$14</f>
        <v>0.29225124622960219</v>
      </c>
      <c r="F5" s="7"/>
      <c r="G5" s="11">
        <f>E5</f>
        <v>0.29225124622960219</v>
      </c>
      <c r="H5" s="7"/>
      <c r="I5" s="11">
        <f>'TABLA 1'!$E$23</f>
        <v>0.35306405778700273</v>
      </c>
      <c r="J5" s="7"/>
      <c r="K5" s="11">
        <f>'TABLA 1'!$E$33</f>
        <v>0.51450249245920443</v>
      </c>
      <c r="L5" s="7"/>
      <c r="M5" s="11">
        <f>'TABLA 1'!$E$43</f>
        <v>1.0412562311480111</v>
      </c>
    </row>
    <row r="6" spans="2:13" x14ac:dyDescent="0.25">
      <c r="B6" t="s">
        <v>10</v>
      </c>
      <c r="C6" s="67">
        <f>'TABLA 1'!G4</f>
        <v>0</v>
      </c>
      <c r="D6" s="9"/>
      <c r="E6" s="11">
        <f>'TABLA 1'!$G$14</f>
        <v>0.40323273213957772</v>
      </c>
      <c r="F6" s="9"/>
      <c r="G6" s="11">
        <f t="shared" ref="G6:G9" si="0">E6</f>
        <v>0.40323273213957772</v>
      </c>
      <c r="H6" s="9"/>
      <c r="I6" s="11">
        <f>'TABLA 1'!$G$23</f>
        <v>0.4917909151744721</v>
      </c>
      <c r="J6" s="9"/>
      <c r="K6" s="11">
        <f>'TABLA 1'!$G$33</f>
        <v>0.73646546427915538</v>
      </c>
      <c r="L6" s="9"/>
      <c r="M6" s="11">
        <f>'TABLA 1'!$G$43</f>
        <v>1.5961636606978886</v>
      </c>
    </row>
    <row r="7" spans="2:13" x14ac:dyDescent="0.25">
      <c r="B7" t="s">
        <v>11</v>
      </c>
      <c r="C7" s="12">
        <f>'TABLA 1'!I4</f>
        <v>0.15</v>
      </c>
      <c r="D7" s="9"/>
      <c r="E7" s="11">
        <f>'TABLA 1'!$I$14</f>
        <v>0.48646884657205935</v>
      </c>
      <c r="F7" s="9"/>
      <c r="G7" s="11">
        <f t="shared" si="0"/>
        <v>0.48646884657205935</v>
      </c>
      <c r="H7" s="9"/>
      <c r="I7" s="11">
        <f>'TABLA 1'!$I$23</f>
        <v>0.59583605821507413</v>
      </c>
      <c r="J7" s="9"/>
      <c r="K7" s="11">
        <f>'TABLA 1'!$I$33</f>
        <v>0.90293769314411876</v>
      </c>
      <c r="L7" s="9"/>
      <c r="M7" s="11">
        <f>'TABLA 1'!$I$43</f>
        <v>2.012344232860297</v>
      </c>
    </row>
    <row r="8" spans="2:13" x14ac:dyDescent="0.25">
      <c r="B8" t="s">
        <v>12</v>
      </c>
      <c r="C8" s="12">
        <v>0.25</v>
      </c>
      <c r="D8" s="9"/>
      <c r="E8" s="11">
        <f>'TABLA 1'!$K$14</f>
        <v>0.51421421804955325</v>
      </c>
      <c r="F8" s="9"/>
      <c r="G8" s="11">
        <f t="shared" si="0"/>
        <v>0.51421421804955325</v>
      </c>
      <c r="H8" s="9"/>
      <c r="I8" s="11">
        <f>'TABLA 1'!$K$23</f>
        <v>0.63051777256194153</v>
      </c>
      <c r="J8" s="9"/>
      <c r="K8" s="11">
        <f>'TABLA 1'!$K$33</f>
        <v>0.95842843609910644</v>
      </c>
      <c r="L8" s="9"/>
      <c r="M8" s="11">
        <f>'TABLA 1'!$K$43</f>
        <v>2.1510710902477661</v>
      </c>
    </row>
    <row r="9" spans="2:13" x14ac:dyDescent="0.25">
      <c r="B9" t="s">
        <v>13</v>
      </c>
      <c r="C9" s="44">
        <f>'TABLA 1'!M4</f>
        <v>0.3</v>
      </c>
      <c r="D9" s="9"/>
      <c r="E9" s="11">
        <f>'TABLA 1'!$M$14</f>
        <v>0.56970496100454104</v>
      </c>
      <c r="F9" s="9"/>
      <c r="G9" s="46">
        <f t="shared" si="0"/>
        <v>0.56970496100454104</v>
      </c>
      <c r="H9" s="9"/>
      <c r="I9" s="46">
        <f>'TABLA 1'!$M$23</f>
        <v>0.69988120125567621</v>
      </c>
      <c r="J9" s="9"/>
      <c r="K9" s="46">
        <f>'TABLA 1'!$M$33</f>
        <v>1.069409922009082</v>
      </c>
      <c r="L9" s="9"/>
      <c r="M9" s="46">
        <f>'TABLA 1'!$M$43</f>
        <v>2.4285248050227048</v>
      </c>
    </row>
    <row r="10" spans="2:13" ht="18" x14ac:dyDescent="0.35">
      <c r="B10" t="s">
        <v>49</v>
      </c>
      <c r="C10" s="43">
        <f>AVERAGE(C5:C9)</f>
        <v>0.1</v>
      </c>
      <c r="D10" s="9"/>
      <c r="E10" s="9"/>
      <c r="F10" s="9"/>
      <c r="G10" s="11">
        <f>AVERAGE(G5:G9)</f>
        <v>0.45317440079906673</v>
      </c>
      <c r="H10" s="9"/>
      <c r="I10" s="11">
        <f>AVERAGE(I5:I9)</f>
        <v>0.55421800099883334</v>
      </c>
      <c r="J10" s="9"/>
      <c r="K10" s="11">
        <f>AVERAGE(K5:K9)</f>
        <v>0.83634880159813341</v>
      </c>
      <c r="L10" s="9"/>
      <c r="M10" s="11">
        <f>AVERAGE(M5:M9)</f>
        <v>1.8458720039953334</v>
      </c>
    </row>
    <row r="11" spans="2:13" x14ac:dyDescent="0.25"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</row>
    <row r="12" spans="2:13" ht="27.75" customHeight="1" x14ac:dyDescent="0.25">
      <c r="E12" s="97" t="s">
        <v>18</v>
      </c>
      <c r="F12" s="97"/>
      <c r="G12" s="97"/>
      <c r="H12" s="97"/>
      <c r="I12" s="98" t="s">
        <v>19</v>
      </c>
      <c r="J12" s="97"/>
      <c r="K12" s="97"/>
      <c r="L12" s="97"/>
    </row>
    <row r="13" spans="2:13" ht="49.5" customHeight="1" x14ac:dyDescent="0.25">
      <c r="B13" s="18" t="s">
        <v>14</v>
      </c>
      <c r="C13" s="22" t="s">
        <v>50</v>
      </c>
      <c r="D13" s="22" t="s">
        <v>51</v>
      </c>
      <c r="E13" s="19">
        <v>0</v>
      </c>
      <c r="F13" s="19">
        <v>0.25</v>
      </c>
      <c r="G13" s="21">
        <v>1</v>
      </c>
      <c r="H13" s="21">
        <v>4</v>
      </c>
      <c r="I13" s="19">
        <v>0</v>
      </c>
      <c r="J13" s="19">
        <v>0.25</v>
      </c>
      <c r="K13" s="21">
        <v>1</v>
      </c>
      <c r="L13" s="21">
        <v>4</v>
      </c>
      <c r="M13" s="7"/>
    </row>
    <row r="14" spans="2:13" x14ac:dyDescent="0.25">
      <c r="B14" t="s">
        <v>9</v>
      </c>
      <c r="C14" s="10">
        <f>C5-$C$10</f>
        <v>-0.30000000000000004</v>
      </c>
      <c r="D14" s="13">
        <f>(C14)^2</f>
        <v>9.0000000000000024E-2</v>
      </c>
      <c r="E14" s="10">
        <f>G5-$G$10</f>
        <v>-0.16092315456946454</v>
      </c>
      <c r="F14" s="10">
        <f>I5-$I$10</f>
        <v>-0.20115394321183061</v>
      </c>
      <c r="G14" s="10">
        <f>K5-$K$10</f>
        <v>-0.32184630913892898</v>
      </c>
      <c r="H14" s="10">
        <f>M5-$M$10</f>
        <v>-0.80461577284732222</v>
      </c>
      <c r="I14" s="14">
        <f>E14^2</f>
        <v>2.5896261676587776E-2</v>
      </c>
      <c r="J14" s="14">
        <f>F14^2</f>
        <v>4.0462908869668371E-2</v>
      </c>
      <c r="K14" s="14">
        <f t="shared" ref="K14:L14" si="1">G14^2</f>
        <v>0.10358504670635103</v>
      </c>
      <c r="L14" s="14">
        <f t="shared" si="1"/>
        <v>0.6474065419146936</v>
      </c>
    </row>
    <row r="15" spans="2:13" x14ac:dyDescent="0.25">
      <c r="B15" t="s">
        <v>10</v>
      </c>
      <c r="C15" s="10">
        <f>C6-$C$10</f>
        <v>-0.1</v>
      </c>
      <c r="D15" s="13">
        <f t="shared" ref="D15:D18" si="2">(C15)^2</f>
        <v>1.0000000000000002E-2</v>
      </c>
      <c r="E15" s="10">
        <f t="shared" ref="E15:E18" si="3">G6-$G$10</f>
        <v>-4.9941668659489014E-2</v>
      </c>
      <c r="F15" s="10">
        <f t="shared" ref="F15:F18" si="4">I6-$I$10</f>
        <v>-6.2427085824361239E-2</v>
      </c>
      <c r="G15" s="10">
        <f t="shared" ref="G15:G18" si="5">K6-$K$10</f>
        <v>-9.9883337318978027E-2</v>
      </c>
      <c r="H15" s="10">
        <f>M6-$M$10</f>
        <v>-0.24970834329744473</v>
      </c>
      <c r="I15" s="14">
        <f t="shared" ref="I15:I18" si="6">E15^2</f>
        <v>2.4941702684941874E-3</v>
      </c>
      <c r="J15" s="14">
        <f t="shared" ref="J15:J18" si="7">F15^2</f>
        <v>3.897141044522164E-3</v>
      </c>
      <c r="K15" s="14">
        <f t="shared" ref="K15:K18" si="8">G15^2</f>
        <v>9.9766810739767495E-3</v>
      </c>
      <c r="L15" s="14">
        <f t="shared" ref="L15:L18" si="9">H15^2</f>
        <v>6.2354256712354512E-2</v>
      </c>
    </row>
    <row r="16" spans="2:13" x14ac:dyDescent="0.25">
      <c r="B16" t="s">
        <v>11</v>
      </c>
      <c r="C16" s="10">
        <f t="shared" ref="C16:C18" si="10">C7-$C$10</f>
        <v>4.9999999999999989E-2</v>
      </c>
      <c r="D16" s="13">
        <f t="shared" si="2"/>
        <v>2.4999999999999988E-3</v>
      </c>
      <c r="E16" s="10">
        <f t="shared" si="3"/>
        <v>3.329444577299262E-2</v>
      </c>
      <c r="F16" s="10">
        <f t="shared" si="4"/>
        <v>4.1618057216240789E-2</v>
      </c>
      <c r="G16" s="10">
        <f t="shared" si="5"/>
        <v>6.6588891545985351E-2</v>
      </c>
      <c r="H16" s="10">
        <f t="shared" ref="H16:H18" si="11">M7-$M$10</f>
        <v>0.1664722288649636</v>
      </c>
      <c r="I16" s="14">
        <f t="shared" si="6"/>
        <v>1.1085201193307462E-3</v>
      </c>
      <c r="J16" s="14">
        <f t="shared" si="7"/>
        <v>1.732062686454292E-3</v>
      </c>
      <c r="K16" s="14">
        <f t="shared" si="8"/>
        <v>4.4340804773229997E-3</v>
      </c>
      <c r="L16" s="14">
        <f t="shared" si="9"/>
        <v>2.7713002983268821E-2</v>
      </c>
    </row>
    <row r="17" spans="2:17" x14ac:dyDescent="0.25">
      <c r="B17" t="s">
        <v>12</v>
      </c>
      <c r="C17" s="10">
        <f t="shared" si="10"/>
        <v>0.15</v>
      </c>
      <c r="D17" s="13">
        <f t="shared" si="2"/>
        <v>2.2499999999999999E-2</v>
      </c>
      <c r="E17" s="10">
        <f t="shared" si="3"/>
        <v>6.1039817250486517E-2</v>
      </c>
      <c r="F17" s="10">
        <f t="shared" si="4"/>
        <v>7.6299771563108187E-2</v>
      </c>
      <c r="G17" s="10">
        <f t="shared" si="5"/>
        <v>0.12207963450097303</v>
      </c>
      <c r="H17" s="10">
        <f>M8-$M$10</f>
        <v>0.30519908625243275</v>
      </c>
      <c r="I17" s="14">
        <f t="shared" si="6"/>
        <v>3.7258592899727912E-3</v>
      </c>
      <c r="J17" s="14">
        <f t="shared" si="7"/>
        <v>5.8216551405824929E-3</v>
      </c>
      <c r="K17" s="14">
        <f t="shared" si="8"/>
        <v>1.4903437159891165E-2</v>
      </c>
      <c r="L17" s="14">
        <f t="shared" si="9"/>
        <v>9.3146482249319887E-2</v>
      </c>
    </row>
    <row r="18" spans="2:17" x14ac:dyDescent="0.25">
      <c r="B18" t="s">
        <v>13</v>
      </c>
      <c r="C18" s="10">
        <f t="shared" si="10"/>
        <v>0.19999999999999998</v>
      </c>
      <c r="D18" s="45">
        <f t="shared" si="2"/>
        <v>3.9999999999999994E-2</v>
      </c>
      <c r="E18" s="10">
        <f t="shared" si="3"/>
        <v>0.11653056020547431</v>
      </c>
      <c r="F18" s="10">
        <f t="shared" si="4"/>
        <v>0.14566320025684287</v>
      </c>
      <c r="G18" s="10">
        <f t="shared" si="5"/>
        <v>0.23306112041094862</v>
      </c>
      <c r="H18" s="10">
        <f t="shared" si="11"/>
        <v>0.58265280102737149</v>
      </c>
      <c r="I18" s="15">
        <f t="shared" si="6"/>
        <v>1.3579371461801673E-2</v>
      </c>
      <c r="J18" s="15">
        <f t="shared" si="7"/>
        <v>2.121776790906511E-2</v>
      </c>
      <c r="K18" s="15">
        <f t="shared" si="8"/>
        <v>5.4317485847206692E-2</v>
      </c>
      <c r="L18" s="15">
        <f t="shared" si="9"/>
        <v>0.33948428654504176</v>
      </c>
    </row>
    <row r="19" spans="2:17" x14ac:dyDescent="0.25">
      <c r="D19" s="13">
        <f>SUM(D14:D18)</f>
        <v>0.16500000000000004</v>
      </c>
      <c r="I19" s="13">
        <f>SUM(I14:I18)</f>
        <v>4.6804182816187173E-2</v>
      </c>
      <c r="J19" s="13">
        <f>SUM(J14:J18)</f>
        <v>7.3131535650292429E-2</v>
      </c>
      <c r="K19" s="13">
        <f>SUM(K14:K18)</f>
        <v>0.18721673126474864</v>
      </c>
      <c r="L19" s="13">
        <f>SUM(L14:L18)</f>
        <v>1.1701045704046786</v>
      </c>
    </row>
    <row r="20" spans="2:17" x14ac:dyDescent="0.25">
      <c r="Q20">
        <f>943988/3774415</f>
        <v>0.25010180385569686</v>
      </c>
    </row>
    <row r="23" spans="2:17" x14ac:dyDescent="0.25">
      <c r="C23" s="80" t="s">
        <v>27</v>
      </c>
      <c r="D23" s="80"/>
      <c r="E23" s="80"/>
      <c r="F23" s="80"/>
      <c r="G23" s="80"/>
      <c r="H23" s="80"/>
      <c r="I23" s="80"/>
      <c r="J23" s="80"/>
      <c r="K23" s="80"/>
      <c r="L23" s="80"/>
      <c r="M23" s="80"/>
    </row>
    <row r="24" spans="2:17" ht="30" x14ac:dyDescent="0.25">
      <c r="B24" s="18" t="s">
        <v>14</v>
      </c>
      <c r="C24" s="97" t="s">
        <v>23</v>
      </c>
      <c r="D24" s="97"/>
      <c r="E24" s="23"/>
      <c r="F24" s="97" t="s">
        <v>20</v>
      </c>
      <c r="G24" s="97"/>
      <c r="H24" s="23"/>
      <c r="I24" s="97" t="s">
        <v>21</v>
      </c>
      <c r="J24" s="97"/>
      <c r="K24" s="23"/>
      <c r="L24" s="97" t="s">
        <v>22</v>
      </c>
      <c r="M24" s="97"/>
    </row>
    <row r="25" spans="2:17" x14ac:dyDescent="0.25">
      <c r="B25" t="s">
        <v>9</v>
      </c>
      <c r="C25" s="96">
        <f>C14*E14</f>
        <v>4.8276946370839367E-2</v>
      </c>
      <c r="D25" s="96"/>
      <c r="E25" s="14"/>
      <c r="F25" s="96">
        <f>C14*F14</f>
        <v>6.034618296354919E-2</v>
      </c>
      <c r="G25" s="96"/>
      <c r="H25" s="14"/>
      <c r="I25" s="96">
        <f>C14*G14</f>
        <v>9.6553892741678707E-2</v>
      </c>
      <c r="J25" s="96"/>
      <c r="K25" s="14"/>
      <c r="L25" s="96">
        <f>C14*H14</f>
        <v>0.2413847318541967</v>
      </c>
      <c r="M25" s="96"/>
    </row>
    <row r="26" spans="2:17" x14ac:dyDescent="0.25">
      <c r="B26" t="s">
        <v>10</v>
      </c>
      <c r="C26" s="96">
        <f>C15*E15</f>
        <v>4.9941668659489015E-3</v>
      </c>
      <c r="D26" s="96"/>
      <c r="E26" s="14"/>
      <c r="F26" s="96">
        <f t="shared" ref="F26" si="12">C15*F15</f>
        <v>6.2427085824361241E-3</v>
      </c>
      <c r="G26" s="96"/>
      <c r="H26" s="14"/>
      <c r="I26" s="96">
        <f t="shared" ref="I26:I29" si="13">C15*G15</f>
        <v>9.9883337318978031E-3</v>
      </c>
      <c r="J26" s="96"/>
      <c r="K26" s="14"/>
      <c r="L26" s="96">
        <f>C15*H15</f>
        <v>2.4970834329744476E-2</v>
      </c>
      <c r="M26" s="96"/>
    </row>
    <row r="27" spans="2:17" x14ac:dyDescent="0.25">
      <c r="B27" t="s">
        <v>11</v>
      </c>
      <c r="C27" s="96">
        <f t="shared" ref="C27:C29" si="14">C16*E16</f>
        <v>1.6647222886496307E-3</v>
      </c>
      <c r="D27" s="96"/>
      <c r="E27" s="14"/>
      <c r="F27" s="96">
        <f>C16*F16</f>
        <v>2.0809028608120392E-3</v>
      </c>
      <c r="G27" s="96"/>
      <c r="H27" s="14"/>
      <c r="I27" s="96">
        <f t="shared" si="13"/>
        <v>3.329444577299267E-3</v>
      </c>
      <c r="J27" s="96"/>
      <c r="K27" s="14"/>
      <c r="L27" s="96">
        <f t="shared" ref="L27:L28" si="15">C16*H16</f>
        <v>8.3236114432481776E-3</v>
      </c>
      <c r="M27" s="96"/>
    </row>
    <row r="28" spans="2:17" x14ac:dyDescent="0.25">
      <c r="B28" t="s">
        <v>12</v>
      </c>
      <c r="C28" s="96">
        <f t="shared" si="14"/>
        <v>9.1559725875729765E-3</v>
      </c>
      <c r="D28" s="96"/>
      <c r="E28" s="14"/>
      <c r="F28" s="96">
        <f>C17*F17</f>
        <v>1.1444965734466227E-2</v>
      </c>
      <c r="G28" s="96"/>
      <c r="H28" s="14"/>
      <c r="I28" s="96">
        <f t="shared" si="13"/>
        <v>1.8311945175145953E-2</v>
      </c>
      <c r="J28" s="96"/>
      <c r="K28" s="14"/>
      <c r="L28" s="96">
        <f t="shared" si="15"/>
        <v>4.5779862937864908E-2</v>
      </c>
      <c r="M28" s="96"/>
    </row>
    <row r="29" spans="2:17" x14ac:dyDescent="0.25">
      <c r="B29" t="s">
        <v>13</v>
      </c>
      <c r="C29" s="96">
        <f t="shared" si="14"/>
        <v>2.3306112041094861E-2</v>
      </c>
      <c r="D29" s="96"/>
      <c r="E29" s="14"/>
      <c r="F29" s="96">
        <f>C18*F18</f>
        <v>2.9132640051368574E-2</v>
      </c>
      <c r="G29" s="96"/>
      <c r="H29" s="14"/>
      <c r="I29" s="96">
        <f t="shared" si="13"/>
        <v>4.6612224082189721E-2</v>
      </c>
      <c r="J29" s="96"/>
      <c r="K29" s="14"/>
      <c r="L29" s="96">
        <f>C18*H18</f>
        <v>0.1165305602054743</v>
      </c>
      <c r="M29" s="96"/>
    </row>
    <row r="30" spans="2:17" x14ac:dyDescent="0.25">
      <c r="C30" s="91">
        <f>SUM(C25:D29)</f>
        <v>8.7397920154105746E-2</v>
      </c>
      <c r="D30" s="92"/>
      <c r="F30" s="91">
        <f>SUM(F25:G29)</f>
        <v>0.10924740019263215</v>
      </c>
      <c r="G30" s="92"/>
      <c r="I30" s="91">
        <f>SUM(I25:J29)</f>
        <v>0.17479584030821144</v>
      </c>
      <c r="J30" s="92"/>
      <c r="L30" s="91">
        <f>SUM(L25:M29)</f>
        <v>0.43698960077052856</v>
      </c>
      <c r="M30" s="92"/>
    </row>
    <row r="34" spans="2:17" ht="31.5" customHeight="1" x14ac:dyDescent="0.35">
      <c r="B34" s="82" t="s">
        <v>24</v>
      </c>
      <c r="C34" s="82"/>
      <c r="D34" s="24"/>
      <c r="E34" s="93" t="s">
        <v>65</v>
      </c>
      <c r="F34" s="94"/>
      <c r="G34" s="24"/>
      <c r="H34" s="95" t="s">
        <v>26</v>
      </c>
      <c r="I34" s="95"/>
      <c r="J34" s="24"/>
      <c r="K34" s="82" t="s">
        <v>28</v>
      </c>
      <c r="L34" s="82"/>
      <c r="M34" s="82"/>
      <c r="Q34">
        <f>'TABLA 1'!E8/('TABLA 1'!E8-0.1*'TABLA 1'!E22)</f>
        <v>1.237035786662374</v>
      </c>
    </row>
    <row r="35" spans="2:17" x14ac:dyDescent="0.25">
      <c r="B35" s="41" t="s">
        <v>25</v>
      </c>
      <c r="C35" s="8">
        <f>G4</f>
        <v>0</v>
      </c>
      <c r="E35" s="87">
        <f>'TABLA 1'!I8/('TABLA 1'!I8)</f>
        <v>1</v>
      </c>
      <c r="F35" s="87"/>
      <c r="H35" s="89">
        <f>(I19/5)^(1/2)</f>
        <v>9.6751416337113302E-2</v>
      </c>
      <c r="I35" s="89"/>
      <c r="K35" s="88">
        <f>C30/0.1</f>
        <v>0.87397920154105746</v>
      </c>
      <c r="L35" s="88"/>
      <c r="M35" s="88"/>
    </row>
    <row r="36" spans="2:17" x14ac:dyDescent="0.25">
      <c r="B36" s="41" t="s">
        <v>25</v>
      </c>
      <c r="C36" s="25">
        <f>I4</f>
        <v>0.25</v>
      </c>
      <c r="E36" s="88">
        <f>'TABLA 1'!I8/('TABLA 1'!I8-'TABLA 1'!C17*'TABLA 1'!I21)</f>
        <v>1.0205593465368594</v>
      </c>
      <c r="F36" s="88"/>
      <c r="H36" s="89">
        <f>(J19/5)^(1/2)</f>
        <v>0.1209392704213916</v>
      </c>
      <c r="I36" s="89"/>
      <c r="K36" s="88">
        <f>F30/0.1</f>
        <v>1.0924740019263215</v>
      </c>
      <c r="L36" s="88"/>
      <c r="M36" s="88"/>
    </row>
    <row r="37" spans="2:17" x14ac:dyDescent="0.25">
      <c r="B37" s="41" t="s">
        <v>25</v>
      </c>
      <c r="C37" s="9">
        <f>K4</f>
        <v>1</v>
      </c>
      <c r="E37" s="88">
        <f>'TABLA 1'!I8/('TABLA 1'!I8-'TABLA 1'!C27*'TABLA 1'!I31)</f>
        <v>1.0775247290388921</v>
      </c>
      <c r="F37" s="88"/>
      <c r="H37" s="89">
        <f>(K19/5)^(1/2)</f>
        <v>0.19350283267422658</v>
      </c>
      <c r="I37" s="89"/>
      <c r="K37" s="88">
        <f>I30/0.1</f>
        <v>1.7479584030821143</v>
      </c>
      <c r="L37" s="88"/>
      <c r="M37" s="88"/>
    </row>
    <row r="38" spans="2:17" x14ac:dyDescent="0.25">
      <c r="B38" s="42" t="s">
        <v>25</v>
      </c>
      <c r="C38" s="16">
        <f>M4</f>
        <v>4</v>
      </c>
      <c r="D38" s="6"/>
      <c r="E38" s="86">
        <f>'TABLA 1'!I8/('TABLA 1'!I8-'TABLA 1'!C37*'TABLA 1'!I41)</f>
        <v>1.2087118064303652</v>
      </c>
      <c r="F38" s="86"/>
      <c r="G38" s="6"/>
      <c r="H38" s="90">
        <f>(L19/5)^(1/2)</f>
        <v>0.48375708168556636</v>
      </c>
      <c r="I38" s="90"/>
      <c r="J38" s="6"/>
      <c r="K38" s="86">
        <f>L30/0.1</f>
        <v>4.3698960077052851</v>
      </c>
      <c r="L38" s="86"/>
      <c r="M38" s="86"/>
    </row>
    <row r="39" spans="2:17" x14ac:dyDescent="0.25">
      <c r="B39" s="64" t="s">
        <v>68</v>
      </c>
    </row>
    <row r="40" spans="2:17" x14ac:dyDescent="0.25">
      <c r="B40" s="65" t="s">
        <v>66</v>
      </c>
    </row>
    <row r="41" spans="2:17" x14ac:dyDescent="0.25">
      <c r="B41" s="64" t="s">
        <v>67</v>
      </c>
    </row>
  </sheetData>
  <mergeCells count="46">
    <mergeCell ref="E12:H12"/>
    <mergeCell ref="I12:L12"/>
    <mergeCell ref="C24:D24"/>
    <mergeCell ref="F24:G24"/>
    <mergeCell ref="I24:J24"/>
    <mergeCell ref="L24:M24"/>
    <mergeCell ref="C27:D27"/>
    <mergeCell ref="C28:D28"/>
    <mergeCell ref="C29:D29"/>
    <mergeCell ref="F25:G25"/>
    <mergeCell ref="F26:G26"/>
    <mergeCell ref="F27:G27"/>
    <mergeCell ref="F28:G28"/>
    <mergeCell ref="F29:G29"/>
    <mergeCell ref="C25:D25"/>
    <mergeCell ref="C26:D26"/>
    <mergeCell ref="L25:M25"/>
    <mergeCell ref="L26:M26"/>
    <mergeCell ref="L27:M27"/>
    <mergeCell ref="L28:M28"/>
    <mergeCell ref="L29:M29"/>
    <mergeCell ref="I25:J25"/>
    <mergeCell ref="I26:J26"/>
    <mergeCell ref="I27:J27"/>
    <mergeCell ref="I28:J28"/>
    <mergeCell ref="I29:J29"/>
    <mergeCell ref="F30:G30"/>
    <mergeCell ref="I30:J30"/>
    <mergeCell ref="C30:D30"/>
    <mergeCell ref="B34:C34"/>
    <mergeCell ref="K36:M36"/>
    <mergeCell ref="K35:M35"/>
    <mergeCell ref="L30:M30"/>
    <mergeCell ref="E34:F34"/>
    <mergeCell ref="H34:I34"/>
    <mergeCell ref="K38:M38"/>
    <mergeCell ref="K34:M34"/>
    <mergeCell ref="E35:F35"/>
    <mergeCell ref="E36:F36"/>
    <mergeCell ref="E37:F37"/>
    <mergeCell ref="E38:F38"/>
    <mergeCell ref="H36:I36"/>
    <mergeCell ref="H35:I35"/>
    <mergeCell ref="H37:I37"/>
    <mergeCell ref="H38:I38"/>
    <mergeCell ref="K37:M37"/>
  </mergeCells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TABLA 1</vt:lpstr>
      <vt:lpstr>TABLA 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Luis</cp:lastModifiedBy>
  <dcterms:created xsi:type="dcterms:W3CDTF">2017-07-18T21:58:45Z</dcterms:created>
  <dcterms:modified xsi:type="dcterms:W3CDTF">2018-02-06T17:42:48Z</dcterms:modified>
</cp:coreProperties>
</file>