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Tercera edición LIBRO FINANZAS\Ejercicios Hernan\"/>
    </mc:Choice>
  </mc:AlternateContent>
  <bookViews>
    <workbookView xWindow="0" yWindow="0" windowWidth="20490" windowHeight="83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1" i="1" l="1"/>
  <c r="N44" i="1"/>
  <c r="O44" i="1"/>
  <c r="P44" i="1"/>
  <c r="Q44" i="1"/>
  <c r="R44" i="1"/>
  <c r="S44" i="1"/>
  <c r="L44" i="1"/>
  <c r="M44" i="1"/>
  <c r="M43" i="1"/>
  <c r="K63" i="1"/>
  <c r="L63" i="1" s="1"/>
  <c r="L66" i="1" s="1"/>
  <c r="C65" i="1"/>
  <c r="L92" i="1"/>
  <c r="M78" i="1"/>
  <c r="L79" i="1"/>
  <c r="C67" i="1"/>
  <c r="N78" i="1" s="1"/>
  <c r="K70" i="1"/>
  <c r="M83" i="1"/>
  <c r="G62" i="1"/>
  <c r="G63" i="1"/>
  <c r="G64" i="1"/>
  <c r="G65" i="1"/>
  <c r="G66" i="1"/>
  <c r="G67" i="1"/>
  <c r="G68" i="1"/>
  <c r="G61" i="1"/>
  <c r="M82" i="1" s="1"/>
  <c r="M90" i="1" s="1"/>
  <c r="F62" i="1"/>
  <c r="F63" i="1"/>
  <c r="F64" i="1"/>
  <c r="F65" i="1"/>
  <c r="F66" i="1"/>
  <c r="F67" i="1"/>
  <c r="F68" i="1"/>
  <c r="F61" i="1"/>
  <c r="M81" i="1" s="1"/>
  <c r="M89" i="1" s="1"/>
  <c r="C64" i="1"/>
  <c r="I107" i="1"/>
  <c r="O114" i="1"/>
  <c r="L69" i="1"/>
  <c r="L64" i="1"/>
  <c r="L65" i="1"/>
  <c r="L71" i="1"/>
  <c r="K74" i="1"/>
  <c r="L72" i="1"/>
  <c r="E33" i="1"/>
  <c r="E31" i="1"/>
  <c r="O112" i="1"/>
  <c r="O111" i="1"/>
  <c r="O110" i="1"/>
  <c r="M110" i="1"/>
  <c r="O107" i="1"/>
  <c r="O106" i="1"/>
  <c r="O105" i="1"/>
  <c r="O104" i="1"/>
  <c r="N83" i="1"/>
  <c r="M86" i="1"/>
  <c r="N86" i="1"/>
  <c r="O86" i="1"/>
  <c r="P86" i="1"/>
  <c r="Q86" i="1"/>
  <c r="R86" i="1"/>
  <c r="S86" i="1"/>
  <c r="T86" i="1"/>
  <c r="E24" i="1"/>
  <c r="E17" i="1"/>
  <c r="C8" i="1"/>
  <c r="L61" i="1"/>
  <c r="K61" i="1"/>
  <c r="C9" i="1"/>
  <c r="E15" i="1"/>
  <c r="C39" i="1"/>
  <c r="K37" i="1"/>
  <c r="E16" i="1"/>
  <c r="C5" i="1"/>
  <c r="G15" i="1"/>
  <c r="L88" i="1" l="1"/>
  <c r="L80" i="1"/>
  <c r="K62" i="1"/>
  <c r="L62" i="1" s="1"/>
  <c r="L74" i="1"/>
  <c r="P83" i="1"/>
  <c r="O83" i="1"/>
  <c r="Q83" i="1"/>
  <c r="R83" i="1"/>
  <c r="S83" i="1"/>
  <c r="T83" i="1"/>
  <c r="T82" i="1"/>
  <c r="T90" i="1" s="1"/>
  <c r="S82" i="1"/>
  <c r="S90" i="1" s="1"/>
  <c r="R82" i="1"/>
  <c r="R90" i="1" s="1"/>
  <c r="Q82" i="1"/>
  <c r="Q90" i="1" s="1"/>
  <c r="P82" i="1"/>
  <c r="P90" i="1" s="1"/>
  <c r="O82" i="1"/>
  <c r="O90" i="1" s="1"/>
  <c r="N82" i="1"/>
  <c r="N90" i="1" s="1"/>
  <c r="T81" i="1"/>
  <c r="T89" i="1" s="1"/>
  <c r="S81" i="1"/>
  <c r="S89" i="1" s="1"/>
  <c r="R81" i="1"/>
  <c r="R89" i="1" s="1"/>
  <c r="Q81" i="1"/>
  <c r="Q89" i="1" s="1"/>
  <c r="P81" i="1"/>
  <c r="P89" i="1" s="1"/>
  <c r="O81" i="1"/>
  <c r="O89" i="1" s="1"/>
  <c r="N81" i="1"/>
  <c r="N89" i="1" s="1"/>
  <c r="C69" i="1"/>
  <c r="L40" i="1"/>
  <c r="L43" i="1" s="1"/>
  <c r="C41" i="1"/>
  <c r="L36" i="1" s="1"/>
  <c r="N92" i="1" l="1"/>
  <c r="O92" i="1"/>
  <c r="L93" i="1"/>
  <c r="K95" i="1" s="1"/>
  <c r="N87" i="1"/>
  <c r="O36" i="1"/>
  <c r="R78" i="1"/>
  <c r="R87" i="1" s="1"/>
  <c r="R92" i="1" s="1"/>
  <c r="R93" i="1" s="1"/>
  <c r="O78" i="1"/>
  <c r="O87" i="1" s="1"/>
  <c r="T78" i="1"/>
  <c r="T87" i="1" s="1"/>
  <c r="T92" i="1" s="1"/>
  <c r="T93" i="1" s="1"/>
  <c r="S78" i="1"/>
  <c r="S87" i="1" s="1"/>
  <c r="S92" i="1" s="1"/>
  <c r="S93" i="1" s="1"/>
  <c r="Q78" i="1"/>
  <c r="Q87" i="1" s="1"/>
  <c r="Q92" i="1" s="1"/>
  <c r="Q93" i="1" s="1"/>
  <c r="P78" i="1"/>
  <c r="P87" i="1" s="1"/>
  <c r="P92" i="1" s="1"/>
  <c r="P93" i="1" s="1"/>
  <c r="C43" i="1"/>
  <c r="M87" i="1" l="1"/>
  <c r="M92" i="1" s="1"/>
  <c r="M93" i="1" s="1"/>
  <c r="K96" i="1" s="1"/>
  <c r="M79" i="1"/>
  <c r="N79" i="1" s="1"/>
  <c r="O79" i="1" s="1"/>
  <c r="P79" i="1" s="1"/>
  <c r="Q79" i="1" s="1"/>
  <c r="R79" i="1" s="1"/>
  <c r="S79" i="1" s="1"/>
  <c r="T79" i="1" s="1"/>
  <c r="O93" i="1"/>
  <c r="N93" i="1"/>
  <c r="K93" i="1"/>
  <c r="E28" i="1"/>
  <c r="L39" i="1"/>
  <c r="L47" i="1" s="1"/>
  <c r="G23" i="1"/>
  <c r="L37" i="1" l="1"/>
  <c r="K45" i="1"/>
  <c r="M40" i="1" l="1"/>
  <c r="N40" i="1"/>
  <c r="N43" i="1" s="1"/>
  <c r="O40" i="1"/>
  <c r="O43" i="1" s="1"/>
  <c r="P40" i="1"/>
  <c r="P43" i="1" s="1"/>
  <c r="Q40" i="1"/>
  <c r="Q43" i="1" s="1"/>
  <c r="R40" i="1"/>
  <c r="R43" i="1" s="1"/>
  <c r="S40" i="1"/>
  <c r="S43" i="1" s="1"/>
  <c r="M36" i="1"/>
  <c r="S39" i="1"/>
  <c r="S47" i="1" s="1"/>
  <c r="R39" i="1"/>
  <c r="R47" i="1" s="1"/>
  <c r="Q39" i="1"/>
  <c r="Q47" i="1" s="1"/>
  <c r="P39" i="1"/>
  <c r="P47" i="1" s="1"/>
  <c r="O39" i="1"/>
  <c r="O47" i="1" s="1"/>
  <c r="N39" i="1"/>
  <c r="N47" i="1" s="1"/>
  <c r="M39" i="1"/>
  <c r="M47" i="1" s="1"/>
  <c r="S38" i="1"/>
  <c r="S46" i="1" s="1"/>
  <c r="R38" i="1"/>
  <c r="R46" i="1" s="1"/>
  <c r="Q38" i="1"/>
  <c r="Q46" i="1" s="1"/>
  <c r="P38" i="1"/>
  <c r="P46" i="1" s="1"/>
  <c r="O38" i="1"/>
  <c r="O46" i="1" s="1"/>
  <c r="N38" i="1"/>
  <c r="N46" i="1" s="1"/>
  <c r="M38" i="1"/>
  <c r="M46" i="1" s="1"/>
  <c r="L38" i="1"/>
  <c r="L46" i="1" s="1"/>
  <c r="L49" i="1" s="1"/>
  <c r="M49" i="1" l="1"/>
  <c r="P36" i="1"/>
  <c r="P49" i="1" s="1"/>
  <c r="S36" i="1"/>
  <c r="S49" i="1" s="1"/>
  <c r="O49" i="1"/>
  <c r="R36" i="1"/>
  <c r="R49" i="1" s="1"/>
  <c r="N36" i="1"/>
  <c r="N49" i="1" s="1"/>
  <c r="Q36" i="1"/>
  <c r="Q49" i="1" s="1"/>
  <c r="M19" i="1"/>
  <c r="M26" i="1" s="1"/>
  <c r="L19" i="1"/>
  <c r="L26" i="1" s="1"/>
  <c r="K19" i="1"/>
  <c r="K26" i="1" s="1"/>
  <c r="J19" i="1"/>
  <c r="J26" i="1" s="1"/>
  <c r="I19" i="1"/>
  <c r="I26" i="1" s="1"/>
  <c r="H19" i="1"/>
  <c r="H26" i="1" s="1"/>
  <c r="G19" i="1"/>
  <c r="G26" i="1" s="1"/>
  <c r="F19" i="1"/>
  <c r="F26" i="1" s="1"/>
  <c r="M18" i="1"/>
  <c r="M25" i="1" s="1"/>
  <c r="L18" i="1"/>
  <c r="L25" i="1" s="1"/>
  <c r="K18" i="1"/>
  <c r="K25" i="1" s="1"/>
  <c r="J18" i="1"/>
  <c r="J25" i="1" s="1"/>
  <c r="I18" i="1"/>
  <c r="I25" i="1" s="1"/>
  <c r="H18" i="1"/>
  <c r="H25" i="1" s="1"/>
  <c r="G18" i="1"/>
  <c r="G25" i="1" s="1"/>
  <c r="F18" i="1"/>
  <c r="F25" i="1" s="1"/>
  <c r="I28" i="1" l="1"/>
  <c r="M37" i="1"/>
  <c r="N37" i="1" s="1"/>
  <c r="O37" i="1" s="1"/>
  <c r="P37" i="1" s="1"/>
  <c r="Q37" i="1" s="1"/>
  <c r="R37" i="1" s="1"/>
  <c r="S37" i="1" s="1"/>
  <c r="K28" i="1"/>
  <c r="H28" i="1"/>
  <c r="J28" i="1"/>
  <c r="M28" i="1"/>
  <c r="L28" i="1"/>
  <c r="K49" i="1"/>
  <c r="K52" i="1" s="1"/>
  <c r="G28" i="1"/>
  <c r="F15" i="1"/>
  <c r="F16" i="1" l="1"/>
  <c r="G16" i="1" s="1"/>
  <c r="F23" i="1"/>
  <c r="F28" i="1" s="1"/>
  <c r="E30" i="1" s="1"/>
</calcChain>
</file>

<file path=xl/sharedStrings.xml><?xml version="1.0" encoding="utf-8"?>
<sst xmlns="http://schemas.openxmlformats.org/spreadsheetml/2006/main" count="111" uniqueCount="40">
  <si>
    <t>Valor de compra</t>
  </si>
  <si>
    <t>Años de depreciación</t>
  </si>
  <si>
    <t>Depreciación</t>
  </si>
  <si>
    <t xml:space="preserve">Valor contable </t>
  </si>
  <si>
    <t>Valor de mercado</t>
  </si>
  <si>
    <t>Año</t>
  </si>
  <si>
    <t>Costo de oportunidad</t>
  </si>
  <si>
    <t>Datos</t>
  </si>
  <si>
    <t>Valor contables</t>
  </si>
  <si>
    <t>Valor del mercado</t>
  </si>
  <si>
    <t>Costo de operación</t>
  </si>
  <si>
    <t>Estado de flujo</t>
  </si>
  <si>
    <t>+(0.3)*(Depreciación)</t>
  </si>
  <si>
    <t>n</t>
  </si>
  <si>
    <t>Impuesto a la renta</t>
  </si>
  <si>
    <t>=</t>
  </si>
  <si>
    <t>FUJO DE CAJA NETO</t>
  </si>
  <si>
    <t>Precio</t>
  </si>
  <si>
    <t>Instalación</t>
  </si>
  <si>
    <t>Adaptación</t>
  </si>
  <si>
    <t>Ahorros</t>
  </si>
  <si>
    <t>´+(1-0.3)*Ahorros</t>
  </si>
  <si>
    <t>Inversión</t>
  </si>
  <si>
    <t>Rf</t>
  </si>
  <si>
    <t>B</t>
  </si>
  <si>
    <t>Prima de riesgo</t>
  </si>
  <si>
    <t>KOC</t>
  </si>
  <si>
    <t>PW(10%)</t>
  </si>
  <si>
    <t>CAE(10%)</t>
  </si>
  <si>
    <t>Costos de Operación</t>
  </si>
  <si>
    <t>Costos de  Mantenimiento</t>
  </si>
  <si>
    <t>Máquina Actual</t>
  </si>
  <si>
    <t>Máquina Usada</t>
  </si>
  <si>
    <t>Costo de mantenimiento</t>
  </si>
  <si>
    <t xml:space="preserve">-(1-0.3)*Costo de operación </t>
  </si>
  <si>
    <t>-(1-0.3)*Costo de mantenimiento</t>
  </si>
  <si>
    <t xml:space="preserve">Explicar </t>
  </si>
  <si>
    <t>Máquina Nueva</t>
  </si>
  <si>
    <t>Ingresos</t>
  </si>
  <si>
    <t xml:space="preserve">Inversión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</si>
</sst>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;[Red]\(#,##0\)"/>
    <numFmt numFmtId="165" formatCode="[$$-409]#,##0.00"/>
    <numFmt numFmtId="166" formatCode="#,##0;[Red]\(\$#,##0\)"/>
    <numFmt numFmtId="167" formatCode="[$$-409]#,##0"/>
    <numFmt numFmtId="168" formatCode="[$$-409]#,##0;[Red][$$-409]#,##0"/>
    <numFmt numFmtId="169" formatCode="[$$-409]#,##0.00;[Red][$$-409]#,##0.00"/>
    <numFmt numFmtId="170" formatCode="#,##0;[Red]#,##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1" fillId="3" borderId="4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0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165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165" fontId="1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/>
    </xf>
    <xf numFmtId="9" fontId="1" fillId="0" borderId="1" xfId="0" applyNumberFormat="1" applyFont="1" applyBorder="1" applyAlignment="1">
      <alignment horizontal="center"/>
    </xf>
    <xf numFmtId="9" fontId="1" fillId="0" borderId="0" xfId="0" applyNumberFormat="1" applyFont="1" applyFill="1" applyAlignment="1">
      <alignment horizontal="center"/>
    </xf>
    <xf numFmtId="9" fontId="1" fillId="0" borderId="1" xfId="0" applyNumberFormat="1" applyFont="1" applyBorder="1" applyAlignment="1">
      <alignment horizontal="center" vertical="center"/>
    </xf>
    <xf numFmtId="0" fontId="3" fillId="0" borderId="0" xfId="0" applyFont="1"/>
    <xf numFmtId="0" fontId="1" fillId="2" borderId="2" xfId="0" applyFont="1" applyFill="1" applyBorder="1" applyAlignment="1">
      <alignment horizontal="center"/>
    </xf>
    <xf numFmtId="0" fontId="2" fillId="0" borderId="0" xfId="0" applyFont="1"/>
    <xf numFmtId="0" fontId="1" fillId="0" borderId="0" xfId="0" applyFont="1" applyBorder="1" applyAlignment="1">
      <alignment horizontal="center"/>
    </xf>
    <xf numFmtId="167" fontId="1" fillId="0" borderId="0" xfId="0" applyNumberFormat="1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2" fillId="0" borderId="0" xfId="0" quotePrefix="1" applyFont="1"/>
    <xf numFmtId="167" fontId="1" fillId="0" borderId="0" xfId="0" applyNumberFormat="1" applyFont="1" applyBorder="1" applyAlignment="1">
      <alignment horizontal="center"/>
    </xf>
    <xf numFmtId="165" fontId="1" fillId="0" borderId="0" xfId="0" applyNumberFormat="1" applyFont="1" applyBorder="1" applyAlignment="1">
      <alignment horizontal="center" vertical="center"/>
    </xf>
    <xf numFmtId="168" fontId="1" fillId="0" borderId="0" xfId="0" applyNumberFormat="1" applyFont="1" applyBorder="1" applyAlignment="1">
      <alignment horizontal="center" vertical="center"/>
    </xf>
    <xf numFmtId="168" fontId="1" fillId="0" borderId="0" xfId="0" applyNumberFormat="1" applyFont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1" fillId="0" borderId="0" xfId="0" quotePrefix="1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7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1" fillId="2" borderId="0" xfId="0" applyFont="1" applyFill="1" applyAlignment="1">
      <alignment horizontal="center"/>
    </xf>
    <xf numFmtId="166" fontId="1" fillId="0" borderId="0" xfId="0" applyNumberFormat="1" applyFont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1" fillId="0" borderId="0" xfId="0" quotePrefix="1" applyFont="1" applyAlignment="1">
      <alignment horizontal="center"/>
    </xf>
    <xf numFmtId="169" fontId="1" fillId="0" borderId="0" xfId="0" applyNumberFormat="1" applyFont="1" applyBorder="1" applyAlignment="1">
      <alignment horizontal="center" vertical="center"/>
    </xf>
    <xf numFmtId="0" fontId="0" fillId="0" borderId="0" xfId="0" applyFont="1"/>
    <xf numFmtId="170" fontId="1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165" fontId="1" fillId="4" borderId="1" xfId="0" applyNumberFormat="1" applyFont="1" applyFill="1" applyBorder="1" applyAlignment="1">
      <alignment horizontal="center"/>
    </xf>
    <xf numFmtId="165" fontId="1" fillId="0" borderId="0" xfId="0" applyNumberFormat="1" applyFont="1"/>
    <xf numFmtId="168" fontId="1" fillId="0" borderId="0" xfId="0" applyNumberFormat="1" applyFont="1" applyAlignment="1">
      <alignment horizontal="center"/>
    </xf>
    <xf numFmtId="9" fontId="0" fillId="0" borderId="0" xfId="0" applyNumberFormat="1" applyFont="1"/>
    <xf numFmtId="1" fontId="1" fillId="0" borderId="0" xfId="0" applyNumberFormat="1" applyFont="1"/>
    <xf numFmtId="169" fontId="1" fillId="0" borderId="0" xfId="0" applyNumberFormat="1" applyFont="1"/>
    <xf numFmtId="0" fontId="2" fillId="0" borderId="0" xfId="0" quotePrefix="1" applyFont="1" applyFill="1"/>
    <xf numFmtId="0" fontId="2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4"/>
  <sheetViews>
    <sheetView tabSelected="1" topLeftCell="A67" zoomScale="80" zoomScaleNormal="80" workbookViewId="0">
      <selection activeCell="O83" sqref="O83"/>
    </sheetView>
  </sheetViews>
  <sheetFormatPr baseColWidth="10" defaultRowHeight="15" x14ac:dyDescent="0.25"/>
  <cols>
    <col min="1" max="1" width="6.5703125" style="1" customWidth="1"/>
    <col min="2" max="2" width="22.5703125" style="1" customWidth="1"/>
    <col min="3" max="3" width="25.7109375" style="1" bestFit="1" customWidth="1"/>
    <col min="4" max="4" width="6.42578125" style="1" customWidth="1"/>
    <col min="5" max="5" width="13.42578125" style="1" customWidth="1"/>
    <col min="6" max="6" width="15.28515625" style="1" customWidth="1"/>
    <col min="7" max="7" width="14.7109375" style="1" customWidth="1"/>
    <col min="8" max="8" width="10.28515625" style="1" customWidth="1"/>
    <col min="9" max="9" width="33.85546875" style="1" customWidth="1"/>
    <col min="10" max="10" width="11.42578125" style="1"/>
    <col min="11" max="11" width="14.140625" style="1" customWidth="1"/>
    <col min="12" max="12" width="13.28515625" style="1" customWidth="1"/>
    <col min="13" max="16384" width="11.42578125" style="1"/>
  </cols>
  <sheetData>
    <row r="1" spans="2:13" x14ac:dyDescent="0.25">
      <c r="I1" s="2" t="s">
        <v>23</v>
      </c>
      <c r="J1" s="2" t="s">
        <v>24</v>
      </c>
      <c r="K1" s="2" t="s">
        <v>25</v>
      </c>
    </row>
    <row r="2" spans="2:13" ht="45" x14ac:dyDescent="0.25">
      <c r="B2" s="41" t="s">
        <v>31</v>
      </c>
      <c r="C2" s="41"/>
      <c r="D2" s="3"/>
      <c r="E2" s="4" t="s">
        <v>5</v>
      </c>
      <c r="F2" s="5" t="s">
        <v>29</v>
      </c>
      <c r="G2" s="5" t="s">
        <v>30</v>
      </c>
      <c r="I2" s="6">
        <v>2.2599999999999999E-2</v>
      </c>
      <c r="J2" s="7">
        <v>1.3</v>
      </c>
      <c r="K2" s="6">
        <v>6.2399999999999997E-2</v>
      </c>
    </row>
    <row r="3" spans="2:13" x14ac:dyDescent="0.25">
      <c r="B3" s="8" t="s">
        <v>0</v>
      </c>
      <c r="C3" s="9">
        <v>400000</v>
      </c>
      <c r="D3" s="3"/>
      <c r="E3" s="10">
        <v>1</v>
      </c>
      <c r="F3" s="9">
        <v>50000</v>
      </c>
      <c r="G3" s="9">
        <v>45986</v>
      </c>
      <c r="H3" s="11"/>
    </row>
    <row r="4" spans="2:13" x14ac:dyDescent="0.25">
      <c r="B4" s="8" t="s">
        <v>1</v>
      </c>
      <c r="C4" s="10">
        <v>8</v>
      </c>
      <c r="D4" s="3"/>
      <c r="E4" s="10">
        <v>2</v>
      </c>
      <c r="F4" s="9">
        <v>50000</v>
      </c>
      <c r="G4" s="9">
        <v>46785</v>
      </c>
      <c r="H4" s="12"/>
    </row>
    <row r="5" spans="2:13" x14ac:dyDescent="0.25">
      <c r="B5" s="8" t="s">
        <v>2</v>
      </c>
      <c r="C5" s="9">
        <f>$C$3/$C$4</f>
        <v>50000</v>
      </c>
      <c r="D5" s="3"/>
      <c r="E5" s="10">
        <v>3</v>
      </c>
      <c r="F5" s="9">
        <v>50000</v>
      </c>
      <c r="G5" s="9">
        <v>47663</v>
      </c>
    </row>
    <row r="6" spans="2:13" x14ac:dyDescent="0.25">
      <c r="B6" s="8" t="s">
        <v>3</v>
      </c>
      <c r="C6" s="9">
        <v>100000</v>
      </c>
      <c r="D6" s="3"/>
      <c r="E6" s="10">
        <v>4</v>
      </c>
      <c r="F6" s="9">
        <v>50000</v>
      </c>
      <c r="G6" s="9">
        <v>48630</v>
      </c>
    </row>
    <row r="7" spans="2:13" x14ac:dyDescent="0.25">
      <c r="B7" s="8" t="s">
        <v>4</v>
      </c>
      <c r="C7" s="9">
        <v>300000</v>
      </c>
      <c r="D7" s="3"/>
      <c r="E7" s="10">
        <v>5</v>
      </c>
      <c r="F7" s="9">
        <v>50000</v>
      </c>
      <c r="G7" s="9">
        <v>49692</v>
      </c>
    </row>
    <row r="8" spans="2:13" x14ac:dyDescent="0.25">
      <c r="B8" s="8" t="s">
        <v>6</v>
      </c>
      <c r="C8" s="9">
        <f>C7-C10*(C7-E16)</f>
        <v>240000</v>
      </c>
      <c r="D8" s="3"/>
      <c r="E8" s="10">
        <v>6</v>
      </c>
      <c r="F8" s="9">
        <v>50000</v>
      </c>
      <c r="G8" s="9">
        <v>50861</v>
      </c>
    </row>
    <row r="9" spans="2:13" x14ac:dyDescent="0.25">
      <c r="B9" s="8" t="s">
        <v>26</v>
      </c>
      <c r="C9" s="13">
        <f>$I$2+$J$2*$K$2</f>
        <v>0.10371999999999999</v>
      </c>
      <c r="D9" s="14"/>
      <c r="E9" s="10">
        <v>7</v>
      </c>
      <c r="F9" s="9">
        <v>50000</v>
      </c>
      <c r="G9" s="9">
        <v>52147</v>
      </c>
    </row>
    <row r="10" spans="2:13" x14ac:dyDescent="0.25">
      <c r="B10" s="8" t="s">
        <v>14</v>
      </c>
      <c r="C10" s="15">
        <v>0.3</v>
      </c>
      <c r="D10" s="3"/>
      <c r="E10" s="10">
        <v>8</v>
      </c>
      <c r="F10" s="9">
        <v>50000</v>
      </c>
      <c r="G10" s="9">
        <v>53562</v>
      </c>
    </row>
    <row r="14" spans="2:13" x14ac:dyDescent="0.25">
      <c r="C14" s="16" t="s">
        <v>7</v>
      </c>
      <c r="D14" s="17" t="s">
        <v>13</v>
      </c>
      <c r="E14" s="17">
        <v>0</v>
      </c>
      <c r="F14" s="17">
        <v>1</v>
      </c>
      <c r="G14" s="17">
        <v>2</v>
      </c>
      <c r="H14" s="17">
        <v>3</v>
      </c>
      <c r="I14" s="17">
        <v>4</v>
      </c>
      <c r="J14" s="17">
        <v>5</v>
      </c>
      <c r="K14" s="17">
        <v>6</v>
      </c>
      <c r="L14" s="17">
        <v>7</v>
      </c>
      <c r="M14" s="17">
        <v>8</v>
      </c>
    </row>
    <row r="15" spans="2:13" x14ac:dyDescent="0.25">
      <c r="C15" s="18" t="s">
        <v>2</v>
      </c>
      <c r="D15" s="19"/>
      <c r="E15" s="20">
        <f>$C$5</f>
        <v>50000</v>
      </c>
      <c r="F15" s="20">
        <f>$C$5</f>
        <v>50000</v>
      </c>
      <c r="G15" s="20">
        <f>$C$5</f>
        <v>50000</v>
      </c>
      <c r="H15" s="20"/>
      <c r="I15" s="20"/>
      <c r="J15" s="20"/>
      <c r="K15" s="20"/>
      <c r="L15" s="20"/>
      <c r="M15" s="20"/>
    </row>
    <row r="16" spans="2:13" x14ac:dyDescent="0.25">
      <c r="C16" s="18" t="s">
        <v>8</v>
      </c>
      <c r="D16" s="19"/>
      <c r="E16" s="20">
        <f>C6</f>
        <v>100000</v>
      </c>
      <c r="F16" s="20">
        <f>E16-F15</f>
        <v>50000</v>
      </c>
      <c r="G16" s="20">
        <f>F16-G15</f>
        <v>0</v>
      </c>
      <c r="H16" s="20"/>
      <c r="I16" s="20"/>
      <c r="J16" s="20"/>
      <c r="K16" s="20"/>
      <c r="L16" s="20"/>
      <c r="M16" s="20"/>
    </row>
    <row r="17" spans="2:13" x14ac:dyDescent="0.25">
      <c r="C17" s="18" t="s">
        <v>9</v>
      </c>
      <c r="D17" s="19"/>
      <c r="E17" s="20">
        <f>C7</f>
        <v>300000</v>
      </c>
      <c r="F17" s="20"/>
      <c r="G17" s="20"/>
      <c r="H17" s="20"/>
      <c r="I17" s="20"/>
      <c r="J17" s="20"/>
      <c r="K17" s="20"/>
      <c r="L17" s="20"/>
      <c r="M17" s="20"/>
    </row>
    <row r="18" spans="2:13" x14ac:dyDescent="0.25">
      <c r="C18" s="18" t="s">
        <v>10</v>
      </c>
      <c r="D18" s="19"/>
      <c r="E18" s="20"/>
      <c r="F18" s="20">
        <f>F3</f>
        <v>50000</v>
      </c>
      <c r="G18" s="20">
        <f>F4</f>
        <v>50000</v>
      </c>
      <c r="H18" s="20">
        <f>F5</f>
        <v>50000</v>
      </c>
      <c r="I18" s="20">
        <f>F6</f>
        <v>50000</v>
      </c>
      <c r="J18" s="20">
        <f>F7</f>
        <v>50000</v>
      </c>
      <c r="K18" s="20">
        <f>F8</f>
        <v>50000</v>
      </c>
      <c r="L18" s="20">
        <f>F9</f>
        <v>50000</v>
      </c>
      <c r="M18" s="20">
        <f>F10</f>
        <v>50000</v>
      </c>
    </row>
    <row r="19" spans="2:13" x14ac:dyDescent="0.25">
      <c r="C19" s="18" t="s">
        <v>33</v>
      </c>
      <c r="D19" s="19"/>
      <c r="E19" s="20"/>
      <c r="F19" s="20">
        <f>G3</f>
        <v>45986</v>
      </c>
      <c r="G19" s="20">
        <f>G4</f>
        <v>46785</v>
      </c>
      <c r="H19" s="20">
        <f>G5</f>
        <v>47663</v>
      </c>
      <c r="I19" s="20">
        <f>G6</f>
        <v>48630</v>
      </c>
      <c r="J19" s="20">
        <f>G7</f>
        <v>49692</v>
      </c>
      <c r="K19" s="20">
        <f>G8</f>
        <v>50861</v>
      </c>
      <c r="L19" s="20">
        <f>G9</f>
        <v>52147</v>
      </c>
      <c r="M19" s="20">
        <f>G10</f>
        <v>53562</v>
      </c>
    </row>
    <row r="20" spans="2:13" x14ac:dyDescent="0.25">
      <c r="C20" s="18"/>
      <c r="D20" s="19"/>
      <c r="E20" s="20"/>
      <c r="F20" s="20"/>
      <c r="G20" s="20"/>
      <c r="H20" s="20"/>
      <c r="I20" s="20"/>
      <c r="J20" s="20"/>
      <c r="K20" s="20"/>
      <c r="L20" s="20"/>
      <c r="M20" s="20"/>
    </row>
    <row r="21" spans="2:13" ht="12" customHeight="1" x14ac:dyDescent="0.25">
      <c r="C21" s="16" t="s">
        <v>11</v>
      </c>
      <c r="D21" s="21"/>
      <c r="E21" s="21"/>
      <c r="F21" s="21"/>
      <c r="G21" s="21"/>
      <c r="H21" s="21"/>
      <c r="I21" s="21"/>
      <c r="J21" s="21"/>
      <c r="K21" s="21"/>
      <c r="L21" s="21"/>
      <c r="M21" s="21"/>
    </row>
    <row r="22" spans="2:13" x14ac:dyDescent="0.25">
      <c r="C22" s="18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2:13" x14ac:dyDescent="0.25">
      <c r="C23" s="22" t="s">
        <v>12</v>
      </c>
      <c r="D23" s="19"/>
      <c r="E23" s="19"/>
      <c r="F23" s="20">
        <f>$C$10*F15</f>
        <v>15000</v>
      </c>
      <c r="G23" s="20">
        <f>$C$10*G15</f>
        <v>15000</v>
      </c>
      <c r="H23" s="23"/>
      <c r="I23" s="19"/>
      <c r="J23" s="19"/>
      <c r="K23" s="19"/>
      <c r="L23" s="24"/>
      <c r="M23" s="19"/>
    </row>
    <row r="24" spans="2:13" x14ac:dyDescent="0.25">
      <c r="C24" s="18" t="s">
        <v>6</v>
      </c>
      <c r="D24" s="19"/>
      <c r="E24" s="25">
        <f>-$C$8</f>
        <v>-240000</v>
      </c>
      <c r="F24" s="26"/>
      <c r="G24" s="26"/>
      <c r="H24" s="26"/>
      <c r="I24" s="26"/>
      <c r="J24" s="26"/>
      <c r="K24" s="26"/>
      <c r="L24" s="26"/>
      <c r="M24" s="26"/>
    </row>
    <row r="25" spans="2:13" x14ac:dyDescent="0.25">
      <c r="B25" s="39" t="s">
        <v>36</v>
      </c>
      <c r="C25" s="48" t="s">
        <v>34</v>
      </c>
      <c r="D25" s="19"/>
      <c r="E25" s="25"/>
      <c r="F25" s="25">
        <f>-(1-$C$10)*F18</f>
        <v>-35000</v>
      </c>
      <c r="G25" s="25">
        <f t="shared" ref="G25:M25" si="0">-(1-$C$10)*G18</f>
        <v>-35000</v>
      </c>
      <c r="H25" s="25">
        <f t="shared" si="0"/>
        <v>-35000</v>
      </c>
      <c r="I25" s="25">
        <f t="shared" si="0"/>
        <v>-35000</v>
      </c>
      <c r="J25" s="25">
        <f t="shared" si="0"/>
        <v>-35000</v>
      </c>
      <c r="K25" s="25">
        <f t="shared" si="0"/>
        <v>-35000</v>
      </c>
      <c r="L25" s="25">
        <f t="shared" si="0"/>
        <v>-35000</v>
      </c>
      <c r="M25" s="25">
        <f t="shared" si="0"/>
        <v>-35000</v>
      </c>
    </row>
    <row r="26" spans="2:13" x14ac:dyDescent="0.25">
      <c r="C26" s="48" t="s">
        <v>35</v>
      </c>
      <c r="D26" s="19"/>
      <c r="E26" s="25"/>
      <c r="F26" s="25">
        <f>-(1-$C$10)*F19</f>
        <v>-32190.199999999997</v>
      </c>
      <c r="G26" s="25">
        <f t="shared" ref="G26:M26" si="1">-(1-$C$10)*G19</f>
        <v>-32749.499999999996</v>
      </c>
      <c r="H26" s="25">
        <f t="shared" si="1"/>
        <v>-33364.1</v>
      </c>
      <c r="I26" s="25">
        <f t="shared" si="1"/>
        <v>-34041</v>
      </c>
      <c r="J26" s="25">
        <f t="shared" si="1"/>
        <v>-34784.399999999994</v>
      </c>
      <c r="K26" s="25">
        <f t="shared" si="1"/>
        <v>-35602.699999999997</v>
      </c>
      <c r="L26" s="25">
        <f t="shared" si="1"/>
        <v>-36502.899999999994</v>
      </c>
      <c r="M26" s="25">
        <f t="shared" si="1"/>
        <v>-37493.399999999994</v>
      </c>
    </row>
    <row r="27" spans="2:13" ht="7.5" customHeight="1" x14ac:dyDescent="0.25">
      <c r="C27" s="22"/>
      <c r="D27" s="21"/>
      <c r="E27" s="21"/>
      <c r="F27" s="27"/>
      <c r="G27" s="27"/>
      <c r="H27" s="27"/>
      <c r="I27" s="27"/>
      <c r="J27" s="27"/>
      <c r="K27" s="27"/>
      <c r="L27" s="27"/>
      <c r="M27" s="27"/>
    </row>
    <row r="28" spans="2:13" x14ac:dyDescent="0.25">
      <c r="C28" s="18" t="s">
        <v>16</v>
      </c>
      <c r="D28" s="19"/>
      <c r="E28" s="25">
        <f>$E$24</f>
        <v>-240000</v>
      </c>
      <c r="F28" s="25">
        <f>SUM(F23,F25,F26)</f>
        <v>-52190.2</v>
      </c>
      <c r="G28" s="25">
        <f t="shared" ref="G28:M28" si="2">SUM(G23,G25,G26)</f>
        <v>-52749.5</v>
      </c>
      <c r="H28" s="25">
        <f t="shared" si="2"/>
        <v>-68364.100000000006</v>
      </c>
      <c r="I28" s="25">
        <f t="shared" si="2"/>
        <v>-69041</v>
      </c>
      <c r="J28" s="25">
        <f t="shared" si="2"/>
        <v>-69784.399999999994</v>
      </c>
      <c r="K28" s="25">
        <f t="shared" si="2"/>
        <v>-70602.7</v>
      </c>
      <c r="L28" s="25">
        <f t="shared" si="2"/>
        <v>-71502.899999999994</v>
      </c>
      <c r="M28" s="25">
        <f t="shared" si="2"/>
        <v>-72493.399999999994</v>
      </c>
    </row>
    <row r="29" spans="2:13" x14ac:dyDescent="0.25">
      <c r="C29" s="18"/>
      <c r="D29" s="19"/>
      <c r="E29" s="26"/>
      <c r="F29" s="26"/>
      <c r="G29" s="26"/>
      <c r="H29" s="26"/>
      <c r="I29" s="26"/>
      <c r="J29" s="26"/>
      <c r="K29" s="26"/>
      <c r="L29" s="26"/>
      <c r="M29" s="26"/>
    </row>
    <row r="30" spans="2:13" x14ac:dyDescent="0.25">
      <c r="C30" s="28" t="s">
        <v>27</v>
      </c>
      <c r="D30" s="29" t="s">
        <v>15</v>
      </c>
      <c r="E30" s="38">
        <f>NPV($C$9,F28:M28)+E28</f>
        <v>-578368.11271187873</v>
      </c>
      <c r="F30" s="19"/>
      <c r="G30" s="19"/>
      <c r="H30" s="19"/>
      <c r="I30" s="19"/>
      <c r="J30" s="19"/>
      <c r="K30" s="19"/>
      <c r="L30" s="19"/>
      <c r="M30" s="19"/>
    </row>
    <row r="31" spans="2:13" x14ac:dyDescent="0.25">
      <c r="C31" s="28" t="s">
        <v>28</v>
      </c>
      <c r="D31" s="29" t="s">
        <v>15</v>
      </c>
      <c r="E31" s="25">
        <f>PMT($C$9,C4,E30)</f>
        <v>109884.0833477978</v>
      </c>
      <c r="F31" s="19"/>
      <c r="G31" s="19"/>
      <c r="H31" s="19"/>
      <c r="I31" s="19"/>
      <c r="J31" s="19"/>
      <c r="K31" s="19"/>
      <c r="L31" s="19"/>
      <c r="M31" s="19"/>
    </row>
    <row r="32" spans="2:13" x14ac:dyDescent="0.25"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2:19" x14ac:dyDescent="0.25">
      <c r="E33" s="47">
        <f>E30*G31</f>
        <v>0</v>
      </c>
    </row>
    <row r="35" spans="2:19" ht="45" x14ac:dyDescent="0.25">
      <c r="B35" s="41" t="s">
        <v>32</v>
      </c>
      <c r="C35" s="41"/>
      <c r="D35" s="3"/>
      <c r="E35" s="4" t="s">
        <v>5</v>
      </c>
      <c r="F35" s="5" t="s">
        <v>29</v>
      </c>
      <c r="G35" s="5" t="s">
        <v>30</v>
      </c>
      <c r="I35" s="16" t="s">
        <v>7</v>
      </c>
      <c r="J35" s="31" t="s">
        <v>13</v>
      </c>
      <c r="K35" s="31">
        <v>0</v>
      </c>
      <c r="L35" s="31">
        <v>1</v>
      </c>
      <c r="M35" s="31">
        <v>2</v>
      </c>
      <c r="N35" s="31">
        <v>3</v>
      </c>
      <c r="O35" s="31">
        <v>4</v>
      </c>
      <c r="P35" s="31">
        <v>5</v>
      </c>
      <c r="Q35" s="31">
        <v>6</v>
      </c>
      <c r="R35" s="31">
        <v>7</v>
      </c>
      <c r="S35" s="31">
        <v>8</v>
      </c>
    </row>
    <row r="36" spans="2:19" x14ac:dyDescent="0.25">
      <c r="B36" s="8" t="s">
        <v>17</v>
      </c>
      <c r="C36" s="9">
        <v>650000</v>
      </c>
      <c r="D36" s="3"/>
      <c r="E36" s="10">
        <v>1</v>
      </c>
      <c r="F36" s="9">
        <v>45000</v>
      </c>
      <c r="G36" s="9">
        <v>31500</v>
      </c>
      <c r="I36" s="18" t="s">
        <v>2</v>
      </c>
      <c r="J36" s="3"/>
      <c r="K36" s="3"/>
      <c r="L36" s="32">
        <f>IF(L$35&lt;=$C$40,$C$41,0)</f>
        <v>109375</v>
      </c>
      <c r="M36" s="32">
        <f>IF(M$35&lt;=$C$40,$C$41,0)</f>
        <v>109375</v>
      </c>
      <c r="N36" s="32">
        <f>IF(N$35&lt;=$C$40,$C$41,0)</f>
        <v>109375</v>
      </c>
      <c r="O36" s="32">
        <f>IF(O$35&lt;=$C$40,$C$41,0)</f>
        <v>109375</v>
      </c>
      <c r="P36" s="32">
        <f>IF(P$35&lt;=$C$40,$C$41,0)</f>
        <v>109375</v>
      </c>
      <c r="Q36" s="32">
        <f>IF(Q$35&lt;=$C$40,$C$41,0)</f>
        <v>109375</v>
      </c>
      <c r="R36" s="32">
        <f>IF(R$35&lt;=$C$40,$C$41,0)</f>
        <v>109375</v>
      </c>
      <c r="S36" s="32">
        <f>IF(S$35&lt;=$C$40,$C$41,0)</f>
        <v>109375</v>
      </c>
    </row>
    <row r="37" spans="2:19" x14ac:dyDescent="0.25">
      <c r="B37" s="8" t="s">
        <v>18</v>
      </c>
      <c r="C37" s="9">
        <v>25000</v>
      </c>
      <c r="D37" s="3"/>
      <c r="E37" s="10">
        <v>2</v>
      </c>
      <c r="F37" s="9">
        <v>45000</v>
      </c>
      <c r="G37" s="9">
        <v>31950</v>
      </c>
      <c r="I37" s="18" t="s">
        <v>8</v>
      </c>
      <c r="J37" s="3"/>
      <c r="K37" s="33">
        <f>C39</f>
        <v>875000</v>
      </c>
      <c r="L37" s="32">
        <f>IF(K37&gt;=L36,K37-L36,0)</f>
        <v>765625</v>
      </c>
      <c r="M37" s="32">
        <f t="shared" ref="M37:S37" si="3">IF(L37&gt;=M36,L37-M36,0)</f>
        <v>656250</v>
      </c>
      <c r="N37" s="32">
        <f>IF(M37&gt;=N36,M37-N36,0)</f>
        <v>546875</v>
      </c>
      <c r="O37" s="32">
        <f t="shared" si="3"/>
        <v>437500</v>
      </c>
      <c r="P37" s="32">
        <f t="shared" si="3"/>
        <v>328125</v>
      </c>
      <c r="Q37" s="32">
        <f t="shared" si="3"/>
        <v>218750</v>
      </c>
      <c r="R37" s="32">
        <f t="shared" si="3"/>
        <v>109375</v>
      </c>
      <c r="S37" s="32">
        <f t="shared" si="3"/>
        <v>0</v>
      </c>
    </row>
    <row r="38" spans="2:19" x14ac:dyDescent="0.25">
      <c r="B38" s="8" t="s">
        <v>19</v>
      </c>
      <c r="C38" s="9">
        <v>200000</v>
      </c>
      <c r="D38" s="3"/>
      <c r="E38" s="10">
        <v>3</v>
      </c>
      <c r="F38" s="9">
        <v>45000</v>
      </c>
      <c r="G38" s="9">
        <v>32445</v>
      </c>
      <c r="I38" s="18" t="s">
        <v>10</v>
      </c>
      <c r="J38" s="3"/>
      <c r="K38" s="3"/>
      <c r="L38" s="20">
        <f>F36</f>
        <v>45000</v>
      </c>
      <c r="M38" s="20">
        <f>F37</f>
        <v>45000</v>
      </c>
      <c r="N38" s="20">
        <f>F38</f>
        <v>45000</v>
      </c>
      <c r="O38" s="20">
        <f>F39</f>
        <v>45000</v>
      </c>
      <c r="P38" s="20">
        <f>F40</f>
        <v>45000</v>
      </c>
      <c r="Q38" s="20">
        <f>F41</f>
        <v>45000</v>
      </c>
      <c r="R38" s="20">
        <f>F42</f>
        <v>45000</v>
      </c>
      <c r="S38" s="20">
        <f>F43</f>
        <v>45000</v>
      </c>
    </row>
    <row r="39" spans="2:19" x14ac:dyDescent="0.25">
      <c r="B39" s="8" t="s">
        <v>3</v>
      </c>
      <c r="C39" s="30">
        <f>SUM(C36:C38)</f>
        <v>875000</v>
      </c>
      <c r="D39" s="3"/>
      <c r="E39" s="10">
        <v>4</v>
      </c>
      <c r="F39" s="9">
        <v>45000</v>
      </c>
      <c r="G39" s="9">
        <v>32990</v>
      </c>
      <c r="I39" s="18" t="s">
        <v>33</v>
      </c>
      <c r="J39" s="3"/>
      <c r="K39" s="3"/>
      <c r="L39" s="20">
        <f>G36</f>
        <v>31500</v>
      </c>
      <c r="M39" s="20">
        <f>G37</f>
        <v>31950</v>
      </c>
      <c r="N39" s="20">
        <f>G38</f>
        <v>32445</v>
      </c>
      <c r="O39" s="20">
        <f>G39</f>
        <v>32990</v>
      </c>
      <c r="P39" s="20">
        <f>G40</f>
        <v>33590</v>
      </c>
      <c r="Q39" s="20">
        <f>G41</f>
        <v>34245</v>
      </c>
      <c r="R39" s="20">
        <f>G42</f>
        <v>34950</v>
      </c>
      <c r="S39" s="20">
        <f>G43</f>
        <v>35745</v>
      </c>
    </row>
    <row r="40" spans="2:19" x14ac:dyDescent="0.25">
      <c r="B40" s="8" t="s">
        <v>1</v>
      </c>
      <c r="C40" s="10">
        <v>8</v>
      </c>
      <c r="D40" s="3"/>
      <c r="E40" s="10">
        <v>5</v>
      </c>
      <c r="F40" s="9">
        <v>45000</v>
      </c>
      <c r="G40" s="9">
        <v>33590</v>
      </c>
      <c r="I40" s="18" t="s">
        <v>20</v>
      </c>
      <c r="J40" s="3"/>
      <c r="L40" s="32">
        <f>$C$42</f>
        <v>120000</v>
      </c>
      <c r="M40" s="32">
        <f t="shared" ref="M40:S40" si="4">$C$42</f>
        <v>120000</v>
      </c>
      <c r="N40" s="32">
        <f t="shared" si="4"/>
        <v>120000</v>
      </c>
      <c r="O40" s="32">
        <f t="shared" si="4"/>
        <v>120000</v>
      </c>
      <c r="P40" s="32">
        <f t="shared" si="4"/>
        <v>120000</v>
      </c>
      <c r="Q40" s="32">
        <f t="shared" si="4"/>
        <v>120000</v>
      </c>
      <c r="R40" s="32">
        <f t="shared" si="4"/>
        <v>120000</v>
      </c>
      <c r="S40" s="32">
        <f t="shared" si="4"/>
        <v>120000</v>
      </c>
    </row>
    <row r="41" spans="2:19" x14ac:dyDescent="0.25">
      <c r="B41" s="8" t="s">
        <v>2</v>
      </c>
      <c r="C41" s="9">
        <f>$C$39/C40</f>
        <v>109375</v>
      </c>
      <c r="D41" s="3"/>
      <c r="E41" s="10">
        <v>6</v>
      </c>
      <c r="F41" s="9">
        <v>45000</v>
      </c>
      <c r="G41" s="9">
        <v>34245</v>
      </c>
      <c r="I41" s="18"/>
      <c r="J41" s="3"/>
      <c r="L41" s="3"/>
      <c r="M41" s="3"/>
      <c r="N41" s="3"/>
      <c r="O41" s="3"/>
      <c r="P41" s="3"/>
      <c r="Q41" s="3"/>
      <c r="R41" s="3"/>
      <c r="S41" s="3"/>
    </row>
    <row r="42" spans="2:19" x14ac:dyDescent="0.25">
      <c r="B42" s="8" t="s">
        <v>20</v>
      </c>
      <c r="C42" s="9">
        <v>120000</v>
      </c>
      <c r="D42" s="3"/>
      <c r="E42" s="10">
        <v>7</v>
      </c>
      <c r="F42" s="9">
        <v>45000</v>
      </c>
      <c r="G42" s="9">
        <v>34950</v>
      </c>
      <c r="I42" s="16" t="s">
        <v>11</v>
      </c>
      <c r="J42" s="34"/>
      <c r="K42" s="34"/>
      <c r="L42" s="34"/>
      <c r="M42" s="34"/>
      <c r="N42" s="34"/>
      <c r="O42" s="34"/>
      <c r="P42" s="34"/>
      <c r="Q42" s="34"/>
      <c r="R42" s="34"/>
      <c r="S42" s="34"/>
    </row>
    <row r="43" spans="2:19" x14ac:dyDescent="0.25">
      <c r="B43" s="8" t="s">
        <v>26</v>
      </c>
      <c r="C43" s="13">
        <f>$I$2+$J$2*$K$2</f>
        <v>0.10371999999999999</v>
      </c>
      <c r="D43" s="3"/>
      <c r="E43" s="10">
        <v>8</v>
      </c>
      <c r="F43" s="9">
        <v>45000</v>
      </c>
      <c r="G43" s="9">
        <v>35745</v>
      </c>
      <c r="I43" s="48" t="s">
        <v>21</v>
      </c>
      <c r="J43" s="3"/>
      <c r="K43" s="3"/>
      <c r="L43" s="32">
        <f>L40*(1-$C$44)</f>
        <v>84000</v>
      </c>
      <c r="M43" s="32">
        <f>M40*(1-$C$44)</f>
        <v>84000</v>
      </c>
      <c r="N43" s="32">
        <f t="shared" ref="M43:S43" si="5">N40*(1-$C$44)</f>
        <v>84000</v>
      </c>
      <c r="O43" s="32">
        <f t="shared" si="5"/>
        <v>84000</v>
      </c>
      <c r="P43" s="32">
        <f t="shared" si="5"/>
        <v>84000</v>
      </c>
      <c r="Q43" s="32">
        <f t="shared" si="5"/>
        <v>84000</v>
      </c>
      <c r="R43" s="32">
        <f t="shared" si="5"/>
        <v>84000</v>
      </c>
      <c r="S43" s="32">
        <f t="shared" si="5"/>
        <v>84000</v>
      </c>
    </row>
    <row r="44" spans="2:19" x14ac:dyDescent="0.25">
      <c r="B44" s="8" t="s">
        <v>14</v>
      </c>
      <c r="C44" s="15">
        <v>0.3</v>
      </c>
      <c r="I44" s="48" t="s">
        <v>12</v>
      </c>
      <c r="J44" s="3"/>
      <c r="K44" s="3"/>
      <c r="L44" s="32">
        <f>$C$44*L36</f>
        <v>32812.5</v>
      </c>
      <c r="M44" s="32">
        <f>$C$44*M36</f>
        <v>32812.5</v>
      </c>
      <c r="N44" s="32">
        <f t="shared" ref="N44:S44" si="6">$C$44*N36</f>
        <v>32812.5</v>
      </c>
      <c r="O44" s="32">
        <f t="shared" si="6"/>
        <v>32812.5</v>
      </c>
      <c r="P44" s="32">
        <f t="shared" si="6"/>
        <v>32812.5</v>
      </c>
      <c r="Q44" s="32">
        <f t="shared" si="6"/>
        <v>32812.5</v>
      </c>
      <c r="R44" s="32">
        <f t="shared" si="6"/>
        <v>32812.5</v>
      </c>
      <c r="S44" s="32">
        <f t="shared" si="6"/>
        <v>32812.5</v>
      </c>
    </row>
    <row r="45" spans="2:19" x14ac:dyDescent="0.25">
      <c r="I45" s="49" t="s">
        <v>22</v>
      </c>
      <c r="J45" s="3"/>
      <c r="K45" s="35">
        <f>-K37</f>
        <v>-875000</v>
      </c>
      <c r="L45" s="32"/>
      <c r="M45" s="32"/>
      <c r="N45" s="32"/>
      <c r="O45" s="32"/>
      <c r="P45" s="32"/>
      <c r="Q45" s="32"/>
      <c r="R45" s="32"/>
      <c r="S45" s="32"/>
    </row>
    <row r="46" spans="2:19" x14ac:dyDescent="0.25">
      <c r="I46" s="48" t="s">
        <v>34</v>
      </c>
      <c r="J46" s="3"/>
      <c r="K46" s="3"/>
      <c r="L46" s="35">
        <f>-(1-$C$10)*L38</f>
        <v>-31499.999999999996</v>
      </c>
      <c r="M46" s="35">
        <f t="shared" ref="M46:S47" si="7">-(1-$C$10)*M38</f>
        <v>-31499.999999999996</v>
      </c>
      <c r="N46" s="35">
        <f t="shared" si="7"/>
        <v>-31499.999999999996</v>
      </c>
      <c r="O46" s="35">
        <f t="shared" si="7"/>
        <v>-31499.999999999996</v>
      </c>
      <c r="P46" s="35">
        <f t="shared" si="7"/>
        <v>-31499.999999999996</v>
      </c>
      <c r="Q46" s="35">
        <f t="shared" si="7"/>
        <v>-31499.999999999996</v>
      </c>
      <c r="R46" s="35">
        <f t="shared" si="7"/>
        <v>-31499.999999999996</v>
      </c>
      <c r="S46" s="35">
        <f t="shared" si="7"/>
        <v>-31499.999999999996</v>
      </c>
    </row>
    <row r="47" spans="2:19" x14ac:dyDescent="0.25">
      <c r="I47" s="48" t="s">
        <v>35</v>
      </c>
      <c r="J47" s="3"/>
      <c r="K47" s="3"/>
      <c r="L47" s="35">
        <f>-(1-$C$10)*L39</f>
        <v>-22050</v>
      </c>
      <c r="M47" s="35">
        <f t="shared" si="7"/>
        <v>-22365</v>
      </c>
      <c r="N47" s="35">
        <f t="shared" si="7"/>
        <v>-22711.5</v>
      </c>
      <c r="O47" s="35">
        <f t="shared" si="7"/>
        <v>-23093</v>
      </c>
      <c r="P47" s="35">
        <f t="shared" si="7"/>
        <v>-23513</v>
      </c>
      <c r="Q47" s="35">
        <f t="shared" si="7"/>
        <v>-23971.5</v>
      </c>
      <c r="R47" s="35">
        <f t="shared" si="7"/>
        <v>-24465</v>
      </c>
      <c r="S47" s="35">
        <f t="shared" si="7"/>
        <v>-25021.5</v>
      </c>
    </row>
    <row r="48" spans="2:19" x14ac:dyDescent="0.25">
      <c r="I48" s="22"/>
      <c r="J48" s="34"/>
      <c r="K48" s="34"/>
      <c r="L48" s="36"/>
      <c r="M48" s="36"/>
      <c r="N48" s="36"/>
      <c r="O48" s="36"/>
      <c r="P48" s="36"/>
      <c r="Q48" s="36"/>
      <c r="R48" s="36"/>
      <c r="S48" s="36"/>
    </row>
    <row r="49" spans="1:19" x14ac:dyDescent="0.25">
      <c r="I49" s="16" t="s">
        <v>16</v>
      </c>
      <c r="J49" s="3"/>
      <c r="K49" s="35">
        <f>K45</f>
        <v>-875000</v>
      </c>
      <c r="L49" s="32">
        <f>SUM(L43,L44,L46,L47)</f>
        <v>63262.5</v>
      </c>
      <c r="M49" s="32">
        <f t="shared" ref="M49:S49" si="8">SUM(M43,M44,M46,M47)</f>
        <v>62947.5</v>
      </c>
      <c r="N49" s="32">
        <f t="shared" si="8"/>
        <v>62601</v>
      </c>
      <c r="O49" s="32">
        <f t="shared" si="8"/>
        <v>62219.5</v>
      </c>
      <c r="P49" s="32">
        <f t="shared" si="8"/>
        <v>61799.5</v>
      </c>
      <c r="Q49" s="32">
        <f t="shared" si="8"/>
        <v>61341</v>
      </c>
      <c r="R49" s="32">
        <f t="shared" si="8"/>
        <v>60847.5</v>
      </c>
      <c r="S49" s="32">
        <f t="shared" si="8"/>
        <v>60291</v>
      </c>
    </row>
    <row r="50" spans="1:19" x14ac:dyDescent="0.25">
      <c r="I50" s="18"/>
      <c r="J50" s="3"/>
      <c r="K50" s="3"/>
      <c r="L50" s="3"/>
      <c r="M50" s="3"/>
      <c r="N50" s="3"/>
      <c r="O50" s="3"/>
      <c r="P50" s="3"/>
      <c r="Q50" s="3"/>
      <c r="R50" s="3"/>
      <c r="S50" s="3"/>
    </row>
    <row r="51" spans="1:19" x14ac:dyDescent="0.25">
      <c r="I51" s="28" t="s">
        <v>27</v>
      </c>
      <c r="J51" s="37" t="s">
        <v>15</v>
      </c>
      <c r="K51" s="40">
        <f>NPV($C$9,L49:S49)+K49</f>
        <v>-547990.8242593701</v>
      </c>
      <c r="L51" s="3"/>
      <c r="M51" s="3"/>
      <c r="N51" s="3"/>
      <c r="O51" s="3"/>
      <c r="P51" s="3"/>
      <c r="Q51" s="3"/>
      <c r="R51" s="3"/>
      <c r="S51" s="3"/>
    </row>
    <row r="52" spans="1:19" x14ac:dyDescent="0.25">
      <c r="I52" s="28" t="s">
        <v>28</v>
      </c>
      <c r="J52" s="37" t="s">
        <v>15</v>
      </c>
      <c r="K52" s="32">
        <f>PMT($C$9,C39,K51)</f>
        <v>56837.60829218186</v>
      </c>
      <c r="L52" s="3"/>
      <c r="M52" s="35"/>
      <c r="N52" s="3"/>
      <c r="O52" s="3"/>
      <c r="P52" s="3"/>
      <c r="Q52" s="3"/>
      <c r="R52" s="3"/>
      <c r="S52" s="3"/>
    </row>
    <row r="60" spans="1:19" ht="45" x14ac:dyDescent="0.25">
      <c r="B60" s="41" t="s">
        <v>37</v>
      </c>
      <c r="C60" s="41"/>
      <c r="D60" s="3"/>
      <c r="E60" s="4" t="s">
        <v>5</v>
      </c>
      <c r="F60" s="5" t="s">
        <v>29</v>
      </c>
      <c r="G60" s="5" t="s">
        <v>30</v>
      </c>
      <c r="I60" s="16" t="s">
        <v>7</v>
      </c>
      <c r="J60" s="17" t="s">
        <v>13</v>
      </c>
      <c r="K60" s="17">
        <v>0</v>
      </c>
      <c r="L60" s="17">
        <v>1</v>
      </c>
      <c r="M60" s="17">
        <v>2</v>
      </c>
      <c r="N60" s="17">
        <v>3</v>
      </c>
      <c r="O60" s="17">
        <v>4</v>
      </c>
      <c r="P60" s="17">
        <v>5</v>
      </c>
      <c r="Q60" s="17">
        <v>6</v>
      </c>
      <c r="R60" s="17">
        <v>7</v>
      </c>
    </row>
    <row r="61" spans="1:19" x14ac:dyDescent="0.25">
      <c r="B61" s="8" t="s">
        <v>17</v>
      </c>
      <c r="C61" s="9"/>
      <c r="D61" s="3"/>
      <c r="E61" s="10">
        <v>1</v>
      </c>
      <c r="F61" s="9">
        <f>0.85*F3</f>
        <v>42500</v>
      </c>
      <c r="G61" s="9">
        <f>0.85*G3</f>
        <v>39088.1</v>
      </c>
      <c r="I61" s="18" t="s">
        <v>2</v>
      </c>
      <c r="J61" s="19"/>
      <c r="K61" s="20">
        <f>$C$5</f>
        <v>50000</v>
      </c>
      <c r="L61" s="20">
        <f>$C$5</f>
        <v>50000</v>
      </c>
      <c r="M61" s="20"/>
      <c r="N61" s="20"/>
      <c r="O61" s="20"/>
      <c r="P61" s="20"/>
      <c r="Q61" s="20"/>
      <c r="R61" s="20"/>
    </row>
    <row r="62" spans="1:19" x14ac:dyDescent="0.25">
      <c r="B62" s="8" t="s">
        <v>18</v>
      </c>
      <c r="C62" s="9"/>
      <c r="D62" s="3"/>
      <c r="E62" s="10">
        <v>2</v>
      </c>
      <c r="F62" s="9">
        <f t="shared" ref="F62:G68" si="9">0.85*F4</f>
        <v>42500</v>
      </c>
      <c r="G62" s="9">
        <f t="shared" si="9"/>
        <v>39767.25</v>
      </c>
      <c r="I62" s="18" t="s">
        <v>8</v>
      </c>
      <c r="J62" s="19"/>
      <c r="K62" s="20">
        <f>E16</f>
        <v>100000</v>
      </c>
      <c r="L62" s="20">
        <f>K62-L61</f>
        <v>50000</v>
      </c>
      <c r="M62" s="20"/>
      <c r="N62" s="20"/>
      <c r="O62" s="20"/>
      <c r="P62" s="20"/>
      <c r="Q62" s="20"/>
      <c r="R62" s="20"/>
    </row>
    <row r="63" spans="1:19" x14ac:dyDescent="0.25">
      <c r="B63" s="8" t="s">
        <v>19</v>
      </c>
      <c r="C63" s="9"/>
      <c r="D63" s="3"/>
      <c r="E63" s="10">
        <v>3</v>
      </c>
      <c r="F63" s="9">
        <f t="shared" si="9"/>
        <v>42500</v>
      </c>
      <c r="G63" s="9">
        <f t="shared" si="9"/>
        <v>40513.549999999996</v>
      </c>
      <c r="I63" s="18" t="s">
        <v>9</v>
      </c>
      <c r="J63" s="19"/>
      <c r="K63" s="20">
        <f>C65</f>
        <v>300000</v>
      </c>
      <c r="L63" s="20">
        <f>K63*0.75</f>
        <v>225000</v>
      </c>
      <c r="M63" s="20"/>
      <c r="N63" s="20"/>
      <c r="O63" s="20"/>
      <c r="P63" s="20"/>
      <c r="Q63" s="20"/>
      <c r="R63" s="20"/>
    </row>
    <row r="64" spans="1:19" x14ac:dyDescent="0.25">
      <c r="A64" s="1">
        <v>1.35</v>
      </c>
      <c r="B64" s="8" t="s">
        <v>39</v>
      </c>
      <c r="C64" s="42">
        <f>1.35*C39</f>
        <v>1181250</v>
      </c>
      <c r="D64" s="3"/>
      <c r="E64" s="10">
        <v>4</v>
      </c>
      <c r="F64" s="9">
        <f t="shared" si="9"/>
        <v>42500</v>
      </c>
      <c r="G64" s="9">
        <f t="shared" si="9"/>
        <v>41335.5</v>
      </c>
      <c r="I64" s="18" t="s">
        <v>10</v>
      </c>
      <c r="J64" s="19"/>
      <c r="K64" s="20"/>
      <c r="L64" s="20">
        <f>F18</f>
        <v>50000</v>
      </c>
      <c r="M64" s="20"/>
      <c r="N64" s="20"/>
      <c r="O64" s="20"/>
      <c r="P64" s="20"/>
      <c r="Q64" s="20"/>
      <c r="R64" s="20"/>
    </row>
    <row r="65" spans="2:20" x14ac:dyDescent="0.25">
      <c r="B65" s="8" t="s">
        <v>4</v>
      </c>
      <c r="C65" s="43">
        <f>C7</f>
        <v>300000</v>
      </c>
      <c r="D65" s="3"/>
      <c r="E65" s="10">
        <v>5</v>
      </c>
      <c r="F65" s="9">
        <f t="shared" si="9"/>
        <v>42500</v>
      </c>
      <c r="G65" s="9">
        <f t="shared" si="9"/>
        <v>42238.2</v>
      </c>
      <c r="I65" s="18" t="s">
        <v>33</v>
      </c>
      <c r="J65" s="19"/>
      <c r="K65" s="20"/>
      <c r="L65" s="20">
        <f>F19</f>
        <v>45986</v>
      </c>
      <c r="M65" s="20"/>
      <c r="N65" s="20"/>
      <c r="O65" s="20"/>
      <c r="P65" s="20"/>
      <c r="Q65" s="20"/>
      <c r="R65" s="20"/>
    </row>
    <row r="66" spans="2:20" x14ac:dyDescent="0.25">
      <c r="B66" s="8" t="s">
        <v>1</v>
      </c>
      <c r="C66" s="10">
        <v>8</v>
      </c>
      <c r="D66" s="3"/>
      <c r="E66" s="10">
        <v>6</v>
      </c>
      <c r="F66" s="9">
        <f t="shared" si="9"/>
        <v>42500</v>
      </c>
      <c r="G66" s="9">
        <f t="shared" si="9"/>
        <v>43231.85</v>
      </c>
      <c r="I66" s="18" t="s">
        <v>38</v>
      </c>
      <c r="J66" s="19"/>
      <c r="K66" s="20"/>
      <c r="L66" s="20">
        <f>L63-C70*(L63-L62)</f>
        <v>172500</v>
      </c>
      <c r="M66" s="20"/>
      <c r="N66" s="20"/>
      <c r="O66" s="20"/>
      <c r="P66" s="20"/>
      <c r="Q66" s="20"/>
      <c r="R66" s="20"/>
    </row>
    <row r="67" spans="2:20" x14ac:dyDescent="0.25">
      <c r="B67" s="8" t="s">
        <v>2</v>
      </c>
      <c r="C67" s="9">
        <f>$C$64/C66</f>
        <v>147656.25</v>
      </c>
      <c r="D67" s="3"/>
      <c r="E67" s="10">
        <v>7</v>
      </c>
      <c r="F67" s="9">
        <f t="shared" si="9"/>
        <v>42500</v>
      </c>
      <c r="G67" s="9">
        <f t="shared" si="9"/>
        <v>44324.95</v>
      </c>
      <c r="I67" s="16" t="s">
        <v>11</v>
      </c>
      <c r="J67" s="21"/>
      <c r="K67" s="21"/>
      <c r="L67" s="21"/>
      <c r="M67" s="21"/>
      <c r="N67" s="21"/>
      <c r="O67" s="21"/>
      <c r="P67" s="21"/>
      <c r="Q67" s="21"/>
      <c r="R67" s="21"/>
    </row>
    <row r="68" spans="2:20" x14ac:dyDescent="0.25">
      <c r="B68" s="8" t="s">
        <v>20</v>
      </c>
      <c r="C68" s="9">
        <v>120000</v>
      </c>
      <c r="D68" s="3"/>
      <c r="E68" s="10">
        <v>8</v>
      </c>
      <c r="F68" s="9">
        <f t="shared" si="9"/>
        <v>42500</v>
      </c>
      <c r="G68" s="9">
        <f t="shared" si="9"/>
        <v>45527.7</v>
      </c>
      <c r="I68" s="18"/>
      <c r="J68" s="3"/>
      <c r="K68" s="3"/>
      <c r="L68" s="3"/>
      <c r="M68" s="3"/>
      <c r="N68" s="3"/>
      <c r="O68" s="3"/>
      <c r="P68" s="3"/>
      <c r="Q68" s="3"/>
      <c r="R68" s="3"/>
    </row>
    <row r="69" spans="2:20" x14ac:dyDescent="0.25">
      <c r="B69" s="8" t="s">
        <v>26</v>
      </c>
      <c r="C69" s="13">
        <f>$I$2+$J$2*$K$2</f>
        <v>0.10371999999999999</v>
      </c>
      <c r="I69" s="22" t="s">
        <v>12</v>
      </c>
      <c r="J69" s="19"/>
      <c r="K69" s="19"/>
      <c r="L69" s="20">
        <f>$C$70*L61</f>
        <v>15000</v>
      </c>
      <c r="M69" s="20"/>
      <c r="N69" s="23"/>
      <c r="O69" s="19"/>
      <c r="P69" s="19"/>
      <c r="Q69" s="19"/>
      <c r="R69" s="24"/>
    </row>
    <row r="70" spans="2:20" x14ac:dyDescent="0.25">
      <c r="B70" s="8" t="s">
        <v>14</v>
      </c>
      <c r="C70" s="15">
        <v>0.3</v>
      </c>
      <c r="I70" s="18" t="s">
        <v>6</v>
      </c>
      <c r="J70" s="19"/>
      <c r="K70" s="25">
        <f>-$C$8</f>
        <v>-240000</v>
      </c>
      <c r="L70" s="26"/>
      <c r="M70" s="26"/>
      <c r="N70" s="26"/>
      <c r="O70" s="26"/>
      <c r="P70" s="26"/>
      <c r="Q70" s="26"/>
      <c r="R70" s="26"/>
    </row>
    <row r="71" spans="2:20" x14ac:dyDescent="0.25">
      <c r="I71" s="48" t="s">
        <v>34</v>
      </c>
      <c r="J71" s="19"/>
      <c r="K71" s="25"/>
      <c r="L71" s="25">
        <f>-(1-$C$70)*L64</f>
        <v>-35000</v>
      </c>
      <c r="M71" s="25"/>
      <c r="N71" s="25"/>
      <c r="O71" s="25"/>
      <c r="P71" s="25"/>
      <c r="Q71" s="25"/>
      <c r="R71" s="25"/>
    </row>
    <row r="72" spans="2:20" x14ac:dyDescent="0.25">
      <c r="I72" s="48" t="s">
        <v>35</v>
      </c>
      <c r="J72" s="19"/>
      <c r="K72" s="25"/>
      <c r="L72" s="25">
        <f>-(1-$C$10)*L65</f>
        <v>-32190.199999999997</v>
      </c>
      <c r="M72" s="25"/>
      <c r="N72" s="25"/>
      <c r="O72" s="25"/>
      <c r="P72" s="25"/>
      <c r="Q72" s="25"/>
      <c r="R72" s="25"/>
    </row>
    <row r="73" spans="2:20" x14ac:dyDescent="0.25">
      <c r="I73" s="22"/>
      <c r="J73" s="21"/>
      <c r="K73" s="21"/>
      <c r="L73" s="27"/>
      <c r="M73" s="27"/>
      <c r="N73" s="27"/>
      <c r="O73" s="27"/>
      <c r="P73" s="27"/>
      <c r="Q73" s="27"/>
      <c r="R73" s="27"/>
    </row>
    <row r="74" spans="2:20" x14ac:dyDescent="0.25">
      <c r="I74" s="18" t="s">
        <v>16</v>
      </c>
      <c r="J74" s="19"/>
      <c r="K74" s="25">
        <f>$K$70</f>
        <v>-240000</v>
      </c>
      <c r="L74" s="25">
        <f>SUM(L69,L71,L72)</f>
        <v>-52190.2</v>
      </c>
      <c r="M74" s="25"/>
      <c r="N74" s="25"/>
      <c r="O74" s="25"/>
      <c r="P74" s="25"/>
      <c r="Q74" s="25"/>
      <c r="R74" s="25"/>
    </row>
    <row r="77" spans="2:20" x14ac:dyDescent="0.25">
      <c r="I77" s="16" t="s">
        <v>7</v>
      </c>
      <c r="J77" s="31" t="s">
        <v>13</v>
      </c>
      <c r="K77" s="31">
        <v>0</v>
      </c>
      <c r="L77" s="31">
        <v>1</v>
      </c>
      <c r="M77" s="31">
        <v>2</v>
      </c>
      <c r="N77" s="31">
        <v>3</v>
      </c>
      <c r="O77" s="31">
        <v>4</v>
      </c>
      <c r="P77" s="31">
        <v>5</v>
      </c>
      <c r="Q77" s="31">
        <v>6</v>
      </c>
      <c r="R77" s="31">
        <v>7</v>
      </c>
      <c r="S77" s="31">
        <v>8</v>
      </c>
      <c r="T77" s="31">
        <v>9</v>
      </c>
    </row>
    <row r="78" spans="2:20" x14ac:dyDescent="0.25">
      <c r="I78" s="18" t="s">
        <v>2</v>
      </c>
      <c r="J78" s="3"/>
      <c r="L78" s="3"/>
      <c r="M78" s="32">
        <f>$C$67</f>
        <v>147656.25</v>
      </c>
      <c r="N78" s="32">
        <f>$C$67</f>
        <v>147656.25</v>
      </c>
      <c r="O78" s="32">
        <f>$C$67</f>
        <v>147656.25</v>
      </c>
      <c r="P78" s="32">
        <f>$C$67</f>
        <v>147656.25</v>
      </c>
      <c r="Q78" s="32">
        <f>$C$67</f>
        <v>147656.25</v>
      </c>
      <c r="R78" s="32">
        <f>$C$67</f>
        <v>147656.25</v>
      </c>
      <c r="S78" s="32">
        <f>$C$67</f>
        <v>147656.25</v>
      </c>
      <c r="T78" s="32">
        <f>$C$67</f>
        <v>147656.25</v>
      </c>
    </row>
    <row r="79" spans="2:20" x14ac:dyDescent="0.25">
      <c r="I79" s="18" t="s">
        <v>8</v>
      </c>
      <c r="J79" s="3"/>
      <c r="L79" s="32">
        <f>C64</f>
        <v>1181250</v>
      </c>
      <c r="M79" s="32">
        <f>IF(L79&gt;=M78,L79-M78,0)</f>
        <v>1033593.75</v>
      </c>
      <c r="N79" s="32">
        <f>IF(M79&gt;=N78,M79-N78,0)</f>
        <v>885937.5</v>
      </c>
      <c r="O79" s="32">
        <f>IF(N79&gt;=O78,N79-O78,0)</f>
        <v>738281.25</v>
      </c>
      <c r="P79" s="32">
        <f t="shared" ref="P79" si="10">IF(O79&gt;=P78,O79-P78,0)</f>
        <v>590625</v>
      </c>
      <c r="Q79" s="32">
        <f t="shared" ref="Q79" si="11">IF(P79&gt;=Q78,P79-Q78,0)</f>
        <v>442968.75</v>
      </c>
      <c r="R79" s="32">
        <f t="shared" ref="R79" si="12">IF(Q79&gt;=R78,Q79-R78,0)</f>
        <v>295312.5</v>
      </c>
      <c r="S79" s="32">
        <f>IF(R79&gt;=S78,R79-S78,0)</f>
        <v>147656.25</v>
      </c>
      <c r="T79" s="32">
        <f>IF(S79&gt;=T78,S79-T78,0)</f>
        <v>0</v>
      </c>
    </row>
    <row r="80" spans="2:20" x14ac:dyDescent="0.25">
      <c r="I80" s="18" t="s">
        <v>9</v>
      </c>
      <c r="L80" s="32">
        <f>L79</f>
        <v>1181250</v>
      </c>
    </row>
    <row r="81" spans="9:20" x14ac:dyDescent="0.25">
      <c r="I81" s="18" t="s">
        <v>10</v>
      </c>
      <c r="J81" s="3"/>
      <c r="L81" s="3"/>
      <c r="M81" s="20">
        <f>F61</f>
        <v>42500</v>
      </c>
      <c r="N81" s="20">
        <f>F62</f>
        <v>42500</v>
      </c>
      <c r="O81" s="20">
        <f>F63</f>
        <v>42500</v>
      </c>
      <c r="P81" s="20">
        <f>F64</f>
        <v>42500</v>
      </c>
      <c r="Q81" s="20">
        <f>F65</f>
        <v>42500</v>
      </c>
      <c r="R81" s="20">
        <f>F66</f>
        <v>42500</v>
      </c>
      <c r="S81" s="20">
        <f>F67</f>
        <v>42500</v>
      </c>
      <c r="T81" s="20">
        <f>F68</f>
        <v>42500</v>
      </c>
    </row>
    <row r="82" spans="9:20" x14ac:dyDescent="0.25">
      <c r="I82" s="18" t="s">
        <v>33</v>
      </c>
      <c r="J82" s="3"/>
      <c r="L82" s="3"/>
      <c r="M82" s="20">
        <f>G61</f>
        <v>39088.1</v>
      </c>
      <c r="N82" s="20">
        <f>G62</f>
        <v>39767.25</v>
      </c>
      <c r="O82" s="20">
        <f>G63</f>
        <v>40513.549999999996</v>
      </c>
      <c r="P82" s="20">
        <f>G64</f>
        <v>41335.5</v>
      </c>
      <c r="Q82" s="20">
        <f>G65</f>
        <v>42238.2</v>
      </c>
      <c r="R82" s="20">
        <f>G66</f>
        <v>43231.85</v>
      </c>
      <c r="S82" s="20">
        <f>G67</f>
        <v>44324.95</v>
      </c>
      <c r="T82" s="20">
        <f>G68</f>
        <v>45527.7</v>
      </c>
    </row>
    <row r="83" spans="9:20" x14ac:dyDescent="0.25">
      <c r="I83" s="18" t="s">
        <v>20</v>
      </c>
      <c r="J83" s="3"/>
      <c r="M83" s="32">
        <f>$C$68</f>
        <v>120000</v>
      </c>
      <c r="N83" s="32">
        <f>$C$68</f>
        <v>120000</v>
      </c>
      <c r="O83" s="32">
        <f>$C$68</f>
        <v>120000</v>
      </c>
      <c r="P83" s="32">
        <f>$C$68</f>
        <v>120000</v>
      </c>
      <c r="Q83" s="32">
        <f>$C$68</f>
        <v>120000</v>
      </c>
      <c r="R83" s="32">
        <f>$C$68</f>
        <v>120000</v>
      </c>
      <c r="S83" s="32">
        <f>$C$68</f>
        <v>120000</v>
      </c>
      <c r="T83" s="32">
        <f>$C$68</f>
        <v>120000</v>
      </c>
    </row>
    <row r="84" spans="9:20" x14ac:dyDescent="0.25">
      <c r="I84" s="18"/>
      <c r="J84" s="3"/>
      <c r="M84" s="3"/>
      <c r="N84" s="3"/>
      <c r="O84" s="3"/>
      <c r="P84" s="3"/>
      <c r="Q84" s="3"/>
      <c r="R84" s="3"/>
      <c r="S84" s="3"/>
      <c r="T84" s="3"/>
    </row>
    <row r="85" spans="9:20" x14ac:dyDescent="0.25">
      <c r="I85" s="16" t="s">
        <v>11</v>
      </c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</row>
    <row r="86" spans="9:20" x14ac:dyDescent="0.25">
      <c r="I86" s="48" t="s">
        <v>21</v>
      </c>
      <c r="J86" s="3"/>
      <c r="L86" s="3"/>
      <c r="M86" s="32">
        <f>M83*(1-$C$70)</f>
        <v>84000</v>
      </c>
      <c r="N86" s="32">
        <f t="shared" ref="N86:T86" si="13">N83*(1-$C$70)</f>
        <v>84000</v>
      </c>
      <c r="O86" s="32">
        <f t="shared" si="13"/>
        <v>84000</v>
      </c>
      <c r="P86" s="32">
        <f t="shared" si="13"/>
        <v>84000</v>
      </c>
      <c r="Q86" s="32">
        <f t="shared" si="13"/>
        <v>84000</v>
      </c>
      <c r="R86" s="32">
        <f t="shared" si="13"/>
        <v>84000</v>
      </c>
      <c r="S86" s="32">
        <f t="shared" si="13"/>
        <v>84000</v>
      </c>
      <c r="T86" s="32">
        <f t="shared" si="13"/>
        <v>84000</v>
      </c>
    </row>
    <row r="87" spans="9:20" x14ac:dyDescent="0.25">
      <c r="I87" s="48" t="s">
        <v>12</v>
      </c>
      <c r="J87" s="3"/>
      <c r="L87" s="3"/>
      <c r="M87" s="33">
        <f>$C$70*M78</f>
        <v>44296.875</v>
      </c>
      <c r="N87" s="32">
        <f>$C$70*N78</f>
        <v>44296.875</v>
      </c>
      <c r="O87" s="32">
        <f>$C$70*O78</f>
        <v>44296.875</v>
      </c>
      <c r="P87" s="32">
        <f>$C$70*P78</f>
        <v>44296.875</v>
      </c>
      <c r="Q87" s="32">
        <f>$C$70*Q78</f>
        <v>44296.875</v>
      </c>
      <c r="R87" s="32">
        <f>$C$70*R78</f>
        <v>44296.875</v>
      </c>
      <c r="S87" s="32">
        <f>$C$70*S78</f>
        <v>44296.875</v>
      </c>
      <c r="T87" s="32">
        <f>$C$70*T78</f>
        <v>44296.875</v>
      </c>
    </row>
    <row r="88" spans="9:20" x14ac:dyDescent="0.25">
      <c r="I88" s="49" t="s">
        <v>22</v>
      </c>
      <c r="J88" s="3"/>
      <c r="L88" s="35">
        <f>-L79</f>
        <v>-1181250</v>
      </c>
      <c r="M88" s="32"/>
      <c r="N88" s="32"/>
      <c r="O88" s="32"/>
      <c r="P88" s="32"/>
      <c r="Q88" s="32"/>
      <c r="R88" s="32"/>
      <c r="S88" s="32"/>
      <c r="T88" s="32"/>
    </row>
    <row r="89" spans="9:20" x14ac:dyDescent="0.25">
      <c r="I89" s="48" t="s">
        <v>34</v>
      </c>
      <c r="J89" s="3"/>
      <c r="L89" s="3"/>
      <c r="M89" s="35">
        <f>-(1-$C$70)*M81</f>
        <v>-29749.999999999996</v>
      </c>
      <c r="N89" s="35">
        <f t="shared" ref="N89:T89" si="14">-(1-$C$70)*N81</f>
        <v>-29749.999999999996</v>
      </c>
      <c r="O89" s="35">
        <f t="shared" si="14"/>
        <v>-29749.999999999996</v>
      </c>
      <c r="P89" s="35">
        <f t="shared" si="14"/>
        <v>-29749.999999999996</v>
      </c>
      <c r="Q89" s="35">
        <f t="shared" si="14"/>
        <v>-29749.999999999996</v>
      </c>
      <c r="R89" s="35">
        <f t="shared" si="14"/>
        <v>-29749.999999999996</v>
      </c>
      <c r="S89" s="35">
        <f t="shared" si="14"/>
        <v>-29749.999999999996</v>
      </c>
      <c r="T89" s="35">
        <f t="shared" si="14"/>
        <v>-29749.999999999996</v>
      </c>
    </row>
    <row r="90" spans="9:20" x14ac:dyDescent="0.25">
      <c r="I90" s="48" t="s">
        <v>35</v>
      </c>
      <c r="J90" s="3"/>
      <c r="L90" s="3"/>
      <c r="M90" s="35">
        <f>-(1-$C$70)*M82</f>
        <v>-27361.67</v>
      </c>
      <c r="N90" s="35">
        <f t="shared" ref="N90:T90" si="15">-(1-$C$70)*N82</f>
        <v>-27837.074999999997</v>
      </c>
      <c r="O90" s="35">
        <f t="shared" si="15"/>
        <v>-28359.484999999997</v>
      </c>
      <c r="P90" s="35">
        <f t="shared" si="15"/>
        <v>-28934.85</v>
      </c>
      <c r="Q90" s="35">
        <f t="shared" si="15"/>
        <v>-29566.739999999994</v>
      </c>
      <c r="R90" s="35">
        <f t="shared" si="15"/>
        <v>-30262.294999999998</v>
      </c>
      <c r="S90" s="35">
        <f t="shared" si="15"/>
        <v>-31027.464999999997</v>
      </c>
      <c r="T90" s="35">
        <f t="shared" si="15"/>
        <v>-31869.389999999996</v>
      </c>
    </row>
    <row r="91" spans="9:20" x14ac:dyDescent="0.25">
      <c r="I91" s="22"/>
      <c r="J91" s="34"/>
      <c r="K91" s="34"/>
      <c r="L91" s="34"/>
      <c r="M91" s="36"/>
      <c r="N91" s="36"/>
      <c r="O91" s="36"/>
      <c r="P91" s="36"/>
      <c r="Q91" s="36"/>
      <c r="R91" s="36"/>
      <c r="S91" s="36"/>
      <c r="T91" s="36"/>
    </row>
    <row r="92" spans="9:20" x14ac:dyDescent="0.25">
      <c r="I92" s="16" t="s">
        <v>16</v>
      </c>
      <c r="J92" s="3"/>
      <c r="L92" s="32">
        <f>L88</f>
        <v>-1181250</v>
      </c>
      <c r="M92" s="32">
        <f>SUM(M86,M87,M89,M90)</f>
        <v>71185.205000000002</v>
      </c>
      <c r="N92" s="32">
        <f>SUM(N86,N87,N89,N90)</f>
        <v>70709.8</v>
      </c>
      <c r="O92" s="32">
        <f>SUM(O86,O87,O89,O90)</f>
        <v>70187.39</v>
      </c>
      <c r="P92" s="32">
        <f t="shared" ref="N92:T92" si="16">SUM(P86,P87,P89,P90)</f>
        <v>69612.024999999994</v>
      </c>
      <c r="Q92" s="32">
        <f t="shared" si="16"/>
        <v>68980.135000000009</v>
      </c>
      <c r="R92" s="32">
        <f t="shared" si="16"/>
        <v>68284.58</v>
      </c>
      <c r="S92" s="32">
        <f t="shared" si="16"/>
        <v>67519.41</v>
      </c>
      <c r="T92" s="32">
        <f t="shared" si="16"/>
        <v>66677.485000000001</v>
      </c>
    </row>
    <row r="93" spans="9:20" x14ac:dyDescent="0.25">
      <c r="I93" s="18"/>
      <c r="J93" s="3"/>
      <c r="K93" s="35">
        <f>K74</f>
        <v>-240000</v>
      </c>
      <c r="L93" s="44">
        <f>L92+L74</f>
        <v>-1233440.2</v>
      </c>
      <c r="M93" s="32">
        <f>M92</f>
        <v>71185.205000000002</v>
      </c>
      <c r="N93" s="32">
        <f t="shared" ref="N93:T93" si="17">N92</f>
        <v>70709.8</v>
      </c>
      <c r="O93" s="32">
        <f t="shared" si="17"/>
        <v>70187.39</v>
      </c>
      <c r="P93" s="32">
        <f t="shared" si="17"/>
        <v>69612.024999999994</v>
      </c>
      <c r="Q93" s="32">
        <f t="shared" si="17"/>
        <v>68980.135000000009</v>
      </c>
      <c r="R93" s="32">
        <f t="shared" si="17"/>
        <v>68284.58</v>
      </c>
      <c r="S93" s="32">
        <f t="shared" si="17"/>
        <v>67519.41</v>
      </c>
      <c r="T93" s="32">
        <f t="shared" si="17"/>
        <v>66677.485000000001</v>
      </c>
    </row>
    <row r="94" spans="9:20" x14ac:dyDescent="0.25">
      <c r="L94" s="3"/>
      <c r="M94" s="3"/>
      <c r="N94" s="3"/>
      <c r="O94" s="3"/>
      <c r="P94" s="3"/>
      <c r="Q94" s="3"/>
      <c r="R94" s="3"/>
      <c r="S94" s="3"/>
    </row>
    <row r="95" spans="9:20" x14ac:dyDescent="0.25">
      <c r="I95" s="28" t="s">
        <v>27</v>
      </c>
      <c r="J95" s="37" t="s">
        <v>15</v>
      </c>
      <c r="K95" s="35">
        <f>NPV($C$9,L93:T93)+K93</f>
        <v>-1026239.7257468719</v>
      </c>
      <c r="L95" s="3"/>
      <c r="M95" s="35"/>
      <c r="N95" s="3"/>
      <c r="O95" s="3"/>
      <c r="P95" s="3"/>
      <c r="Q95" s="3"/>
      <c r="R95" s="3"/>
      <c r="S95" s="3"/>
    </row>
    <row r="96" spans="9:20" x14ac:dyDescent="0.25">
      <c r="I96" s="28" t="s">
        <v>28</v>
      </c>
      <c r="J96" s="37" t="s">
        <v>15</v>
      </c>
      <c r="K96" s="35">
        <f>PMT($C$9,C64,K95)</f>
        <v>106441.58435446555</v>
      </c>
    </row>
    <row r="103" spans="9:15" x14ac:dyDescent="0.25">
      <c r="L103" s="1">
        <v>8930</v>
      </c>
      <c r="M103" s="1">
        <v>4460</v>
      </c>
    </row>
    <row r="104" spans="9:15" x14ac:dyDescent="0.25">
      <c r="L104" s="1">
        <v>13387</v>
      </c>
      <c r="M104" s="1">
        <v>8927</v>
      </c>
      <c r="O104" s="1">
        <f>L104-M103</f>
        <v>8927</v>
      </c>
    </row>
    <row r="105" spans="9:15" x14ac:dyDescent="0.25">
      <c r="K105" s="45">
        <v>0.4</v>
      </c>
      <c r="L105" s="1">
        <v>40000</v>
      </c>
      <c r="M105" s="1">
        <v>30000</v>
      </c>
      <c r="O105" s="1">
        <f>M105</f>
        <v>30000</v>
      </c>
    </row>
    <row r="106" spans="9:15" x14ac:dyDescent="0.25">
      <c r="M106" s="39">
        <v>16000</v>
      </c>
      <c r="O106" s="1">
        <f>M106</f>
        <v>16000</v>
      </c>
    </row>
    <row r="107" spans="9:15" x14ac:dyDescent="0.25">
      <c r="I107" s="1">
        <f>200450/148200</f>
        <v>1.3525641025641026</v>
      </c>
      <c r="M107" s="39">
        <v>16785</v>
      </c>
      <c r="O107" s="1">
        <f>M107</f>
        <v>16785</v>
      </c>
    </row>
    <row r="110" spans="9:15" x14ac:dyDescent="0.25">
      <c r="M110" s="46">
        <f>L105-K105*(L105-(L104+0.5*L103))</f>
        <v>31140.799999999999</v>
      </c>
      <c r="O110" s="1">
        <f>K105*O104</f>
        <v>3570.8</v>
      </c>
    </row>
    <row r="111" spans="9:15" x14ac:dyDescent="0.25">
      <c r="O111" s="1">
        <f>-(1-K105)*O106</f>
        <v>-9600</v>
      </c>
    </row>
    <row r="112" spans="9:15" x14ac:dyDescent="0.25">
      <c r="O112" s="1">
        <f>-(1-K105)*O107</f>
        <v>-10071</v>
      </c>
    </row>
    <row r="114" spans="15:15" x14ac:dyDescent="0.25">
      <c r="O114" s="1">
        <f>(M105-M104)*K105-M105</f>
        <v>-21570.799999999999</v>
      </c>
    </row>
  </sheetData>
  <mergeCells count="3">
    <mergeCell ref="B2:C2"/>
    <mergeCell ref="B35:C35"/>
    <mergeCell ref="B60:C60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CHAUCA</dc:creator>
  <cp:lastModifiedBy>Luis</cp:lastModifiedBy>
  <cp:lastPrinted>2018-05-02T23:00:08Z</cp:lastPrinted>
  <dcterms:created xsi:type="dcterms:W3CDTF">2017-08-08T16:37:14Z</dcterms:created>
  <dcterms:modified xsi:type="dcterms:W3CDTF">2018-05-03T00:43:49Z</dcterms:modified>
</cp:coreProperties>
</file>