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esktop\"/>
    </mc:Choice>
  </mc:AlternateContent>
  <bookViews>
    <workbookView xWindow="0" yWindow="0" windowWidth="20370" windowHeight="6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1" l="1"/>
  <c r="E157" i="1" l="1"/>
  <c r="M138" i="1"/>
  <c r="M136" i="1"/>
  <c r="M135" i="1"/>
  <c r="H158" i="1"/>
  <c r="H157" i="1"/>
  <c r="H161" i="1" s="1"/>
  <c r="G164" i="1" l="1"/>
  <c r="C126" i="1"/>
  <c r="D126" i="1"/>
  <c r="E126" i="1"/>
  <c r="F126" i="1"/>
  <c r="G126" i="1"/>
  <c r="B126" i="1"/>
  <c r="I146" i="1"/>
  <c r="I145" i="1"/>
  <c r="B146" i="1"/>
  <c r="D145" i="1"/>
  <c r="E145" i="1"/>
  <c r="F145" i="1"/>
  <c r="G145" i="1"/>
  <c r="C145" i="1"/>
  <c r="I161" i="1"/>
  <c r="D142" i="1"/>
  <c r="D130" i="1"/>
  <c r="E130" i="1"/>
  <c r="F130" i="1"/>
  <c r="G130" i="1"/>
  <c r="C130" i="1"/>
  <c r="M93" i="1"/>
  <c r="N86" i="1"/>
  <c r="O86" i="1"/>
  <c r="P86" i="1"/>
  <c r="Q86" i="1"/>
  <c r="M86" i="1"/>
  <c r="Q81" i="1"/>
  <c r="P81" i="1"/>
  <c r="O81" i="1"/>
  <c r="N81" i="1"/>
  <c r="M81" i="1"/>
  <c r="Q11" i="1"/>
  <c r="P11" i="1"/>
  <c r="O11" i="1"/>
  <c r="N11" i="1"/>
  <c r="M11" i="1"/>
  <c r="C142" i="1"/>
  <c r="I159" i="1"/>
  <c r="D134" i="1"/>
  <c r="E134" i="1"/>
  <c r="E142" i="1" s="1"/>
  <c r="F134" i="1"/>
  <c r="F142" i="1" s="1"/>
  <c r="G134" i="1"/>
  <c r="G142" i="1" s="1"/>
  <c r="C134" i="1"/>
  <c r="D119" i="1"/>
  <c r="C119" i="1"/>
  <c r="D118" i="1"/>
  <c r="C114" i="1"/>
  <c r="C115" i="1"/>
  <c r="F143" i="1" l="1"/>
  <c r="F144" i="1"/>
  <c r="F146" i="1" s="1"/>
  <c r="E143" i="1"/>
  <c r="E144" i="1" s="1"/>
  <c r="E146" i="1" s="1"/>
  <c r="G143" i="1"/>
  <c r="G144" i="1" s="1"/>
  <c r="G146" i="1" s="1"/>
  <c r="C143" i="1"/>
  <c r="C144" i="1" s="1"/>
  <c r="C146" i="1" s="1"/>
  <c r="D143" i="1"/>
  <c r="D144" i="1" s="1"/>
  <c r="D146" i="1" s="1"/>
  <c r="F95" i="1"/>
  <c r="E95" i="1"/>
  <c r="D95" i="1"/>
  <c r="C95" i="1"/>
  <c r="B95" i="1"/>
  <c r="F65" i="1"/>
  <c r="C65" i="1"/>
  <c r="D65" i="1"/>
  <c r="E65" i="1"/>
  <c r="B65" i="1"/>
  <c r="B103" i="1"/>
  <c r="C103" i="1"/>
  <c r="O63" i="1"/>
  <c r="O51" i="1"/>
  <c r="L39" i="1"/>
  <c r="N39" i="1"/>
  <c r="M39" i="1" s="1"/>
  <c r="M94" i="1" l="1"/>
  <c r="B63" i="1" s="1"/>
  <c r="N93" i="1"/>
  <c r="N94" i="1" s="1"/>
  <c r="C63" i="1" s="1"/>
  <c r="N92" i="1"/>
  <c r="O92" i="1"/>
  <c r="P92" i="1"/>
  <c r="Q92" i="1"/>
  <c r="M92" i="1"/>
  <c r="N76" i="1"/>
  <c r="O76" i="1" s="1"/>
  <c r="P76" i="1" s="1"/>
  <c r="Q76" i="1" s="1"/>
  <c r="N71" i="1"/>
  <c r="O71" i="1" s="1"/>
  <c r="P71" i="1" s="1"/>
  <c r="Q71" i="1" s="1"/>
  <c r="N7" i="1"/>
  <c r="O7" i="1" s="1"/>
  <c r="P7" i="1" s="1"/>
  <c r="Q7" i="1" s="1"/>
  <c r="B61" i="1" l="1"/>
  <c r="B93" i="1"/>
  <c r="B91" i="1" s="1"/>
  <c r="B104" i="1" s="1"/>
  <c r="B105" i="1" s="1"/>
  <c r="C61" i="1"/>
  <c r="C93" i="1"/>
  <c r="C91" i="1" s="1"/>
  <c r="C104" i="1" s="1"/>
  <c r="H120" i="1"/>
  <c r="H119" i="1"/>
  <c r="H116" i="1"/>
  <c r="H115" i="1"/>
  <c r="I113" i="1"/>
  <c r="W3" i="1" l="1"/>
  <c r="I44" i="1"/>
  <c r="U3" i="1" s="1"/>
  <c r="V3" i="1" l="1"/>
  <c r="T4" i="1" s="1"/>
  <c r="H47" i="1"/>
  <c r="U4" i="1"/>
  <c r="V4" i="1" s="1"/>
  <c r="T5" i="1" s="1"/>
  <c r="H49" i="1" l="1"/>
  <c r="U5" i="1"/>
  <c r="V5" i="1" s="1"/>
  <c r="T6" i="1" s="1"/>
  <c r="K40" i="1" l="1"/>
  <c r="U6" i="1"/>
  <c r="V6" i="1" s="1"/>
  <c r="T7" i="1" s="1"/>
  <c r="L40" i="1" l="1"/>
  <c r="U7" i="1"/>
  <c r="V7" i="1" s="1"/>
  <c r="T8" i="1" s="1"/>
  <c r="M40" i="1" l="1"/>
  <c r="U8" i="1"/>
  <c r="V8" i="1" s="1"/>
  <c r="T9" i="1" s="1"/>
  <c r="K41" i="1" l="1"/>
  <c r="U9" i="1"/>
  <c r="V9" i="1" s="1"/>
  <c r="T10" i="1" s="1"/>
  <c r="L41" i="1" l="1"/>
  <c r="U10" i="1"/>
  <c r="V10" i="1" s="1"/>
  <c r="T11" i="1" s="1"/>
  <c r="M41" i="1" l="1"/>
  <c r="U11" i="1"/>
  <c r="V11" i="1" s="1"/>
  <c r="T12" i="1" s="1"/>
  <c r="K42" i="1" l="1"/>
  <c r="U12" i="1"/>
  <c r="V12" i="1" s="1"/>
  <c r="T13" i="1" s="1"/>
  <c r="L42" i="1" l="1"/>
  <c r="U13" i="1"/>
  <c r="V13" i="1" s="1"/>
  <c r="T14" i="1" s="1"/>
  <c r="M42" i="1" l="1"/>
  <c r="U14" i="1"/>
  <c r="V14" i="1" s="1"/>
  <c r="T15" i="1" s="1"/>
  <c r="K43" i="1" l="1"/>
  <c r="U15" i="1"/>
  <c r="V15" i="1" s="1"/>
  <c r="T16" i="1" s="1"/>
  <c r="L43" i="1" l="1"/>
  <c r="M43" i="1" s="1"/>
  <c r="U16" i="1"/>
  <c r="V16" i="1" s="1"/>
  <c r="T17" i="1" s="1"/>
  <c r="K44" i="1" l="1"/>
  <c r="L44" i="1" s="1"/>
  <c r="M44" i="1" s="1"/>
  <c r="K45" i="1" s="1"/>
  <c r="L45" i="1" s="1"/>
  <c r="M45" i="1" s="1"/>
  <c r="K46" i="1" s="1"/>
  <c r="L46" i="1" s="1"/>
  <c r="M46" i="1" s="1"/>
  <c r="K47" i="1" s="1"/>
  <c r="L47" i="1" s="1"/>
  <c r="M47" i="1" s="1"/>
  <c r="K48" i="1" s="1"/>
  <c r="L48" i="1" s="1"/>
  <c r="M48" i="1" s="1"/>
  <c r="K49" i="1" s="1"/>
  <c r="L49" i="1" s="1"/>
  <c r="M49" i="1" s="1"/>
  <c r="K50" i="1" s="1"/>
  <c r="L50" i="1" s="1"/>
  <c r="P51" i="1" s="1"/>
  <c r="U17" i="1"/>
  <c r="V17" i="1" s="1"/>
  <c r="T18" i="1" s="1"/>
  <c r="M50" i="1" l="1"/>
  <c r="Q51" i="1" s="1"/>
  <c r="U18" i="1"/>
  <c r="V18" i="1" s="1"/>
  <c r="T19" i="1" s="1"/>
  <c r="C116" i="1" l="1"/>
  <c r="K51" i="1"/>
  <c r="L51" i="1" s="1"/>
  <c r="U19" i="1"/>
  <c r="V19" i="1" s="1"/>
  <c r="T20" i="1" s="1"/>
  <c r="C117" i="1" l="1"/>
  <c r="M51" i="1"/>
  <c r="B106" i="1"/>
  <c r="U20" i="1"/>
  <c r="V20" i="1" s="1"/>
  <c r="T21" i="1" s="1"/>
  <c r="K52" i="1" l="1"/>
  <c r="L52" i="1" s="1"/>
  <c r="U21" i="1"/>
  <c r="V21" i="1" s="1"/>
  <c r="T22" i="1" s="1"/>
  <c r="M52" i="1" l="1"/>
  <c r="U22" i="1"/>
  <c r="V22" i="1" s="1"/>
  <c r="T23" i="1" s="1"/>
  <c r="K53" i="1" l="1"/>
  <c r="L53" i="1" s="1"/>
  <c r="U23" i="1"/>
  <c r="V23" i="1" s="1"/>
  <c r="T24" i="1"/>
  <c r="M53" i="1" l="1"/>
  <c r="U24" i="1"/>
  <c r="V24" i="1" s="1"/>
  <c r="T25" i="1" s="1"/>
  <c r="K54" i="1" l="1"/>
  <c r="L54" i="1" s="1"/>
  <c r="U25" i="1"/>
  <c r="V25" i="1" s="1"/>
  <c r="T26" i="1" s="1"/>
  <c r="U26" i="1" s="1"/>
  <c r="V26" i="1" s="1"/>
  <c r="M54" i="1" l="1"/>
  <c r="F29" i="1"/>
  <c r="C29" i="1"/>
  <c r="D29" i="1"/>
  <c r="E29" i="1"/>
  <c r="B29" i="1"/>
  <c r="B28" i="1"/>
  <c r="M18" i="1"/>
  <c r="L16" i="1"/>
  <c r="M16" i="1" s="1"/>
  <c r="L17" i="1"/>
  <c r="M17" i="1" s="1"/>
  <c r="L18" i="1"/>
  <c r="L15" i="1"/>
  <c r="M15" i="1" s="1"/>
  <c r="L19" i="1"/>
  <c r="M19" i="1" s="1"/>
  <c r="M20" i="1" l="1"/>
  <c r="K55" i="1"/>
  <c r="L55" i="1" s="1"/>
  <c r="I29" i="1"/>
  <c r="M55" i="1" l="1"/>
  <c r="C27" i="1"/>
  <c r="B27" i="1"/>
  <c r="C73" i="1"/>
  <c r="B73" i="1"/>
  <c r="D53" i="1"/>
  <c r="E53" i="1"/>
  <c r="G53" i="1" s="1"/>
  <c r="K56" i="1" l="1"/>
  <c r="L56" i="1" s="1"/>
  <c r="M56" i="1" s="1"/>
  <c r="K57" i="1" s="1"/>
  <c r="L57" i="1" s="1"/>
  <c r="M57" i="1" s="1"/>
  <c r="K58" i="1" s="1"/>
  <c r="L58" i="1" s="1"/>
  <c r="M58" i="1" s="1"/>
  <c r="K59" i="1" s="1"/>
  <c r="L59" i="1" s="1"/>
  <c r="M59" i="1" s="1"/>
  <c r="K60" i="1" s="1"/>
  <c r="L60" i="1" s="1"/>
  <c r="M60" i="1" s="1"/>
  <c r="K61" i="1" s="1"/>
  <c r="L61" i="1" s="1"/>
  <c r="M61" i="1" s="1"/>
  <c r="K62" i="1" s="1"/>
  <c r="L62" i="1" s="1"/>
  <c r="P63" i="1" s="1"/>
  <c r="B74" i="1"/>
  <c r="B75" i="1" s="1"/>
  <c r="C74" i="1"/>
  <c r="C75" i="1" s="1"/>
  <c r="C54" i="1"/>
  <c r="M62" i="1" l="1"/>
  <c r="D54" i="1"/>
  <c r="E54" i="1" s="1"/>
  <c r="C55" i="1" s="1"/>
  <c r="Q63" i="1" l="1"/>
  <c r="D114" i="1" s="1"/>
  <c r="D115" i="1"/>
  <c r="D116" i="1" s="1"/>
  <c r="D55" i="1"/>
  <c r="E55" i="1" s="1"/>
  <c r="C56" i="1" s="1"/>
  <c r="G54" i="1"/>
  <c r="C105" i="1" l="1"/>
  <c r="C106" i="1" s="1"/>
  <c r="D117" i="1"/>
  <c r="G55" i="1"/>
  <c r="D56" i="1"/>
  <c r="E56" i="1" s="1"/>
  <c r="G56" i="1" s="1"/>
  <c r="B26" i="1" l="1"/>
  <c r="B37" i="1" s="1"/>
  <c r="B38" i="1" s="1"/>
  <c r="O3" i="1"/>
  <c r="N2" i="1"/>
  <c r="N3" i="1" s="1"/>
  <c r="C28" i="1" l="1"/>
  <c r="C26" i="1" s="1"/>
  <c r="C37" i="1" s="1"/>
  <c r="C38" i="1" s="1"/>
  <c r="O93" i="1"/>
  <c r="O94" i="1" s="1"/>
  <c r="D63" i="1" s="1"/>
  <c r="L28" i="1"/>
  <c r="C12" i="1"/>
  <c r="C20" i="1" s="1"/>
  <c r="D12" i="1"/>
  <c r="D20" i="1" s="1"/>
  <c r="E12" i="1"/>
  <c r="E20" i="1" s="1"/>
  <c r="F12" i="1"/>
  <c r="F20" i="1" s="1"/>
  <c r="B12" i="1"/>
  <c r="B20" i="1" s="1"/>
  <c r="C6" i="1"/>
  <c r="D6" i="1"/>
  <c r="E6" i="1"/>
  <c r="F6" i="1"/>
  <c r="B6" i="1"/>
  <c r="I8" i="1"/>
  <c r="I7" i="1"/>
  <c r="I11" i="1" s="1"/>
  <c r="D93" i="1" l="1"/>
  <c r="D91" i="1" s="1"/>
  <c r="D104" i="1" s="1"/>
  <c r="D105" i="1" s="1"/>
  <c r="D106" i="1" s="1"/>
  <c r="D61" i="1"/>
  <c r="D73" i="1" s="1"/>
  <c r="D74" i="1" s="1"/>
  <c r="D75" i="1" s="1"/>
  <c r="P93" i="1"/>
  <c r="P94" i="1" s="1"/>
  <c r="E63" i="1" s="1"/>
  <c r="B21" i="1"/>
  <c r="B22" i="1" s="1"/>
  <c r="D28" i="1"/>
  <c r="D26" i="1" s="1"/>
  <c r="D37" i="1" s="1"/>
  <c r="D38" i="1" s="1"/>
  <c r="D39" i="1" s="1"/>
  <c r="D22" i="1"/>
  <c r="D21" i="1"/>
  <c r="C21" i="1"/>
  <c r="C22" i="1" s="1"/>
  <c r="F21" i="1"/>
  <c r="F22" i="1" s="1"/>
  <c r="E21" i="1"/>
  <c r="E22" i="1" s="1"/>
  <c r="B39" i="1"/>
  <c r="C39" i="1"/>
  <c r="I4" i="1"/>
  <c r="Q93" i="1" l="1"/>
  <c r="Q94" i="1" s="1"/>
  <c r="F63" i="1" s="1"/>
  <c r="E61" i="1"/>
  <c r="E73" i="1" s="1"/>
  <c r="E74" i="1" s="1"/>
  <c r="E75" i="1" s="1"/>
  <c r="E93" i="1"/>
  <c r="E91" i="1" s="1"/>
  <c r="E104" i="1" s="1"/>
  <c r="E28" i="1"/>
  <c r="E26" i="1" s="1"/>
  <c r="E37" i="1" s="1"/>
  <c r="E38" i="1" s="1"/>
  <c r="E39" i="1" s="1"/>
  <c r="F28" i="1"/>
  <c r="F26" i="1" s="1"/>
  <c r="F37" i="1" s="1"/>
  <c r="E105" i="1" l="1"/>
  <c r="E106" i="1" s="1"/>
  <c r="F93" i="1"/>
  <c r="F91" i="1" s="1"/>
  <c r="F104" i="1" s="1"/>
  <c r="F61" i="1"/>
  <c r="F73" i="1" s="1"/>
  <c r="F74" i="1" s="1"/>
  <c r="F75" i="1" s="1"/>
  <c r="F38" i="1"/>
  <c r="F39" i="1" s="1"/>
  <c r="F105" i="1" l="1"/>
  <c r="F106" i="1" s="1"/>
</calcChain>
</file>

<file path=xl/sharedStrings.xml><?xml version="1.0" encoding="utf-8"?>
<sst xmlns="http://schemas.openxmlformats.org/spreadsheetml/2006/main" count="251" uniqueCount="114">
  <si>
    <t>CUADRO DE DEPRECIACIONES</t>
  </si>
  <si>
    <t>Depreciación</t>
  </si>
  <si>
    <t>ACTIVOS TANGIBLES</t>
  </si>
  <si>
    <t>ACTIVOS INTANGIBLES</t>
  </si>
  <si>
    <t>Amortización intangibles</t>
  </si>
  <si>
    <t>INVERSIONES</t>
  </si>
  <si>
    <t>INVERSIÓN TOTAL (US$)</t>
  </si>
  <si>
    <t>COSTO DE PROYECTO</t>
  </si>
  <si>
    <t>COSTO DE DESARROLLO DE SOFTWARE</t>
  </si>
  <si>
    <t>COSTO DE LICENCIAS DE SOFTWARE</t>
  </si>
  <si>
    <t xml:space="preserve">OTROS COSTOS </t>
  </si>
  <si>
    <t>COSTOS DE IMPLEMENTACION DE HARDWARE</t>
  </si>
  <si>
    <t>TOTAL</t>
  </si>
  <si>
    <t xml:space="preserve"> DESCRIPCIÓN</t>
  </si>
  <si>
    <t>Depreciacion + Amort. Intang</t>
  </si>
  <si>
    <t>PERSONAL</t>
  </si>
  <si>
    <t>HORAS/DÍA</t>
  </si>
  <si>
    <t>PAGO/HORA (US$)</t>
  </si>
  <si>
    <t>PAGO/MES (US$)</t>
  </si>
  <si>
    <t>PAGO/AÑO (US$)</t>
  </si>
  <si>
    <t>Asistente de Almacen</t>
  </si>
  <si>
    <t>Jefe de Almacen</t>
  </si>
  <si>
    <t>Jefe de Produccion</t>
  </si>
  <si>
    <t>Supervior</t>
  </si>
  <si>
    <t>Tesorero</t>
  </si>
  <si>
    <t>TOTAL  DE AHORRO EN PERSONAL</t>
  </si>
  <si>
    <t>COSTOS DE OPERACIÓN</t>
  </si>
  <si>
    <t xml:space="preserve">                    COSTOS DE OPERACIÓN</t>
  </si>
  <si>
    <t>COSTO ANUAL (US$)</t>
  </si>
  <si>
    <t>COSTOS DE ENERGIA</t>
  </si>
  <si>
    <t>COSTOS DE MANTENIMIENTO</t>
  </si>
  <si>
    <t>COSTO DE SEGURIDAD DEL SISTEMA</t>
  </si>
  <si>
    <t>COSTO DE RENOVACION DE LICENCIAS</t>
  </si>
  <si>
    <t>COSTO DE CAPACITACIÓN</t>
  </si>
  <si>
    <t>COSTO DE RECURSO HUMANO</t>
  </si>
  <si>
    <t>Recurso humano</t>
  </si>
  <si>
    <t>Capacitación</t>
  </si>
  <si>
    <t>Mantenimiento</t>
  </si>
  <si>
    <t>Renovación de licencias</t>
  </si>
  <si>
    <t>Seguridad del sistema</t>
  </si>
  <si>
    <t>Energía</t>
  </si>
  <si>
    <t>INGRESOS</t>
  </si>
  <si>
    <t>Depreciación + Amort.Intang</t>
  </si>
  <si>
    <t>Año 2018</t>
  </si>
  <si>
    <t>Año 2019</t>
  </si>
  <si>
    <t>Año 2020</t>
  </si>
  <si>
    <t>Año 2021</t>
  </si>
  <si>
    <t>Año 2022</t>
  </si>
  <si>
    <t>EGRESOS</t>
  </si>
  <si>
    <t>UTILIDAD BRUTA</t>
  </si>
  <si>
    <t>IMPUESTO</t>
  </si>
  <si>
    <t>UTILIDAD NETA</t>
  </si>
  <si>
    <t>DESCRIPCIÓN</t>
  </si>
  <si>
    <t>Periodo (Años)</t>
  </si>
  <si>
    <t xml:space="preserve">INVERSIÓN </t>
  </si>
  <si>
    <t>APORTE DE ACCIONISTAS (US$)</t>
  </si>
  <si>
    <t>PRÉSTAMO BANCARIO (US$)</t>
  </si>
  <si>
    <t>PARTICIPACIÓN PORCENTUAL</t>
  </si>
  <si>
    <t>BANCO TRUJILLO</t>
  </si>
  <si>
    <t>Ventas Proyectadas</t>
  </si>
  <si>
    <t>Unidades de pares de zapatos</t>
  </si>
  <si>
    <t>Precio unitario</t>
  </si>
  <si>
    <t>US$ 20</t>
  </si>
  <si>
    <t>Ahorro en personal</t>
  </si>
  <si>
    <t>Ventas</t>
  </si>
  <si>
    <t>Saldo (US$)</t>
  </si>
  <si>
    <t>Intereses (US$)</t>
  </si>
  <si>
    <t>Amortizacion de Capital (US$)</t>
  </si>
  <si>
    <t>Cuota (US$)</t>
  </si>
  <si>
    <t>Saldo de capital (US$)</t>
  </si>
  <si>
    <t>|</t>
  </si>
  <si>
    <t>DIAS/MES</t>
  </si>
  <si>
    <t>Ingeniero de Sistemas</t>
  </si>
  <si>
    <t>IMPUESTO (30%)</t>
  </si>
  <si>
    <t xml:space="preserve">COSTOS </t>
  </si>
  <si>
    <t>Gastos Financieros</t>
  </si>
  <si>
    <t>CONCEPTOS</t>
  </si>
  <si>
    <t xml:space="preserve">Año 0 </t>
  </si>
  <si>
    <t>Prestamo recibido</t>
  </si>
  <si>
    <t>Amortizaciones e interéses</t>
  </si>
  <si>
    <t>Interéses</t>
  </si>
  <si>
    <t>Escudo fiscal de la deuda</t>
  </si>
  <si>
    <t>Financiamiento neto</t>
  </si>
  <si>
    <t>Deflactor</t>
  </si>
  <si>
    <t>Financiamiento neto sin inflación</t>
  </si>
  <si>
    <t>FLUJO DE CAJA ECONÓMICO</t>
  </si>
  <si>
    <t>FINANCIAMIENTO NETO SIN INLFACIÓN</t>
  </si>
  <si>
    <t>FLUJO DE CAJA FINANCIERO</t>
  </si>
  <si>
    <t>Ingreso Anual (Sin Proyecto)</t>
  </si>
  <si>
    <t>Ingresos Marginales</t>
  </si>
  <si>
    <t>Ingreso Anual (Con Proyecto)</t>
  </si>
  <si>
    <t>Ingresos/Años</t>
  </si>
  <si>
    <t>Ingeniero de sistemas</t>
  </si>
  <si>
    <t>Ingreso por ventas( Marginal)</t>
  </si>
  <si>
    <t>Año 0</t>
  </si>
  <si>
    <t>A. INVERSIONES</t>
  </si>
  <si>
    <t>TANGIBLES</t>
  </si>
  <si>
    <t>INTANGIBLES</t>
  </si>
  <si>
    <t>COSTIS DE OPERACIÓN</t>
  </si>
  <si>
    <t>COSTO DE ENERGIA</t>
  </si>
  <si>
    <t>COSTO DE MANTENIMIENTO</t>
  </si>
  <si>
    <t>COSTO DE SEGURIDAD DEL SIST.</t>
  </si>
  <si>
    <t>COSTO DE RENOVACIÓN DE LIC.</t>
  </si>
  <si>
    <t>COSTO DE INGENIERO DE SISTEMAS</t>
  </si>
  <si>
    <t>DEPRECIACIÓN</t>
  </si>
  <si>
    <t>DEPRECIACION NO PAGADA</t>
  </si>
  <si>
    <t>FLUJO DE CAJA  ECONÓMICO</t>
  </si>
  <si>
    <t>Periodos (Años)</t>
  </si>
  <si>
    <t>Flujo de Caja Económico (US$)</t>
  </si>
  <si>
    <t>VAN</t>
  </si>
  <si>
    <t>TIR</t>
  </si>
  <si>
    <t>FLUJO DE CAJA FINANCIERO (US$)</t>
  </si>
  <si>
    <t>I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</si>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</sst>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S/.&quot;\ #,##0.00;[Red]&quot;S/.&quot;\ \-#,##0.00"/>
    <numFmt numFmtId="164" formatCode="0.000%"/>
    <numFmt numFmtId="165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8" fontId="0" fillId="0" borderId="0" xfId="0" applyNumberFormat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left" indent="1"/>
    </xf>
    <xf numFmtId="4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164" fontId="0" fillId="0" borderId="0" xfId="1" applyNumberFormat="1" applyFont="1" applyBorder="1"/>
    <xf numFmtId="4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3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left" indent="1"/>
    </xf>
    <xf numFmtId="3" fontId="0" fillId="0" borderId="0" xfId="0" applyNumberFormat="1" applyBorder="1"/>
    <xf numFmtId="165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6" fillId="3" borderId="1" xfId="0" applyFont="1" applyFill="1" applyBorder="1" applyAlignment="1">
      <alignment horizontal="left" indent="1"/>
    </xf>
    <xf numFmtId="3" fontId="7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0" fillId="0" borderId="0" xfId="0" applyNumberFormat="1"/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41</xdr:row>
      <xdr:rowOff>9525</xdr:rowOff>
    </xdr:from>
    <xdr:to>
      <xdr:col>7</xdr:col>
      <xdr:colOff>76200</xdr:colOff>
      <xdr:row>48</xdr:row>
      <xdr:rowOff>66675</xdr:rowOff>
    </xdr:to>
    <xdr:sp macro="" textlink="">
      <xdr:nvSpPr>
        <xdr:cNvPr id="2" name="CuadroTexto 1"/>
        <xdr:cNvSpPr txBox="1"/>
      </xdr:nvSpPr>
      <xdr:spPr>
        <a:xfrm>
          <a:off x="2905125" y="8048625"/>
          <a:ext cx="3686175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Banco               : Banco de Crédito del Perú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Vencimiento     : 2 años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Monto               : 25,000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Modalidad        : Método Francés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Cuotas             : Semestrales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Tasa                 : 10% efectivo anual</a:t>
          </a:r>
        </a:p>
        <a:p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Tasa semestral: 4,88%</a:t>
          </a:r>
        </a:p>
        <a:p>
          <a:endParaRPr lang="es-PE" sz="1100"/>
        </a:p>
      </xdr:txBody>
    </xdr:sp>
    <xdr:clientData/>
  </xdr:twoCellAnchor>
  <xdr:oneCellAnchor>
    <xdr:from>
      <xdr:col>9</xdr:col>
      <xdr:colOff>730755</xdr:colOff>
      <xdr:row>7</xdr:row>
      <xdr:rowOff>136023</xdr:rowOff>
    </xdr:from>
    <xdr:ext cx="919739" cy="937629"/>
    <xdr:sp macro="" textlink="">
      <xdr:nvSpPr>
        <xdr:cNvPr id="3" name="Rectángulo 2"/>
        <xdr:cNvSpPr/>
      </xdr:nvSpPr>
      <xdr:spPr>
        <a:xfrm>
          <a:off x="11179680" y="2079123"/>
          <a:ext cx="9197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accent3"/>
              </a:solidFill>
              <a:effectLst/>
            </a:rPr>
            <a:t>CP</a:t>
          </a:r>
        </a:p>
      </xdr:txBody>
    </xdr:sp>
    <xdr:clientData/>
  </xdr:oneCellAnchor>
  <xdr:oneCellAnchor>
    <xdr:from>
      <xdr:col>10</xdr:col>
      <xdr:colOff>26443</xdr:colOff>
      <xdr:row>3</xdr:row>
      <xdr:rowOff>126498</xdr:rowOff>
    </xdr:from>
    <xdr:ext cx="880562" cy="937629"/>
    <xdr:sp macro="" textlink="">
      <xdr:nvSpPr>
        <xdr:cNvPr id="4" name="Rectángulo 3"/>
        <xdr:cNvSpPr/>
      </xdr:nvSpPr>
      <xdr:spPr>
        <a:xfrm>
          <a:off x="11256418" y="1307598"/>
          <a:ext cx="88056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accent3"/>
              </a:solidFill>
              <a:effectLst/>
            </a:rPr>
            <a:t>SP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5"/>
  <sheetViews>
    <sheetView tabSelected="1" topLeftCell="A146" workbookViewId="0">
      <selection activeCell="G165" sqref="G165"/>
    </sheetView>
  </sheetViews>
  <sheetFormatPr baseColWidth="10" defaultRowHeight="15" x14ac:dyDescent="0.25"/>
  <cols>
    <col min="1" max="1" width="34.140625" customWidth="1"/>
    <col min="2" max="2" width="14.28515625" bestFit="1" customWidth="1"/>
    <col min="3" max="3" width="11.7109375" customWidth="1"/>
    <col min="4" max="4" width="11.140625" customWidth="1"/>
    <col min="5" max="5" width="18.42578125" customWidth="1"/>
    <col min="6" max="6" width="11.5703125" customWidth="1"/>
    <col min="7" max="7" width="13.42578125" customWidth="1"/>
    <col min="8" max="8" width="40.5703125" customWidth="1"/>
    <col min="9" max="9" width="15" customWidth="1"/>
    <col min="10" max="10" width="17" customWidth="1"/>
    <col min="11" max="11" width="14.7109375" customWidth="1"/>
    <col min="12" max="12" width="14.28515625" customWidth="1"/>
    <col min="13" max="13" width="17.5703125" customWidth="1"/>
    <col min="14" max="14" width="17.7109375" customWidth="1"/>
    <col min="15" max="15" width="16.140625" customWidth="1"/>
    <col min="20" max="20" width="11.7109375" bestFit="1" customWidth="1"/>
    <col min="22" max="22" width="15.85546875" customWidth="1"/>
  </cols>
  <sheetData>
    <row r="1" spans="1:23" ht="45" x14ac:dyDescent="0.25">
      <c r="A1" t="s">
        <v>0</v>
      </c>
      <c r="L1" s="34" t="s">
        <v>54</v>
      </c>
      <c r="M1" s="34" t="s">
        <v>6</v>
      </c>
      <c r="N1" s="34" t="s">
        <v>55</v>
      </c>
      <c r="O1" s="34" t="s">
        <v>56</v>
      </c>
    </row>
    <row r="2" spans="1:23" ht="33" customHeight="1" x14ac:dyDescent="0.25">
      <c r="H2" s="1" t="s">
        <v>5</v>
      </c>
      <c r="I2" s="1" t="s">
        <v>6</v>
      </c>
      <c r="J2" s="27"/>
      <c r="L2" s="6" t="s">
        <v>7</v>
      </c>
      <c r="M2" s="5">
        <v>87950</v>
      </c>
      <c r="N2" s="5">
        <f>M2-O2</f>
        <v>62950</v>
      </c>
      <c r="O2" s="5">
        <v>25000</v>
      </c>
      <c r="S2" s="20" t="s">
        <v>53</v>
      </c>
      <c r="T2" s="20" t="s">
        <v>65</v>
      </c>
      <c r="U2" s="20" t="s">
        <v>66</v>
      </c>
      <c r="V2" s="20" t="s">
        <v>67</v>
      </c>
      <c r="W2" s="20" t="s">
        <v>68</v>
      </c>
    </row>
    <row r="3" spans="1:23" ht="15" customHeight="1" x14ac:dyDescent="0.25">
      <c r="A3" s="8" t="s">
        <v>13</v>
      </c>
      <c r="B3" s="8">
        <v>2018</v>
      </c>
      <c r="C3" s="8">
        <v>2019</v>
      </c>
      <c r="D3" s="8">
        <v>2020</v>
      </c>
      <c r="E3" s="8">
        <v>2021</v>
      </c>
      <c r="F3" s="8">
        <v>2022</v>
      </c>
      <c r="H3" s="8" t="s">
        <v>7</v>
      </c>
      <c r="I3" s="6"/>
      <c r="J3" s="28"/>
      <c r="L3" s="6" t="s">
        <v>57</v>
      </c>
      <c r="M3" s="21">
        <v>1</v>
      </c>
      <c r="N3" s="21">
        <f>N2/M2</f>
        <v>0.7157475838544628</v>
      </c>
      <c r="O3" s="21">
        <f>O2/M2</f>
        <v>0.28425241614553726</v>
      </c>
      <c r="S3" s="6">
        <v>1</v>
      </c>
      <c r="T3" s="11">
        <v>25000</v>
      </c>
      <c r="U3" s="11">
        <f t="shared" ref="U3:U26" si="0">T3*$I$44</f>
        <v>199.35351072259411</v>
      </c>
      <c r="V3" s="11">
        <f>W3-U3</f>
        <v>842.31315594407261</v>
      </c>
      <c r="W3" s="11">
        <f>-PMT(R9,24,T3)</f>
        <v>1041.6666666666667</v>
      </c>
    </row>
    <row r="4" spans="1:23" x14ac:dyDescent="0.25">
      <c r="A4" s="4" t="s">
        <v>1</v>
      </c>
      <c r="B4" s="5">
        <v>2340</v>
      </c>
      <c r="C4" s="5">
        <v>2340</v>
      </c>
      <c r="D4" s="5">
        <v>2340</v>
      </c>
      <c r="E4" s="5">
        <v>2340</v>
      </c>
      <c r="F4" s="5">
        <v>2340</v>
      </c>
      <c r="H4" s="8" t="s">
        <v>3</v>
      </c>
      <c r="I4" s="7">
        <f>SUM(I5:I7)</f>
        <v>74950</v>
      </c>
      <c r="J4" s="14"/>
      <c r="S4" s="6">
        <v>2</v>
      </c>
      <c r="T4" s="11">
        <f>T3-V3</f>
        <v>24157.686844055926</v>
      </c>
      <c r="U4" s="11">
        <f t="shared" si="0"/>
        <v>192.63678733198296</v>
      </c>
      <c r="V4" s="11">
        <f t="shared" ref="V4:V26" si="1">W4-U4</f>
        <v>956.01915540296113</v>
      </c>
      <c r="W4" s="11">
        <v>1148.6559427349441</v>
      </c>
    </row>
    <row r="5" spans="1:23" x14ac:dyDescent="0.25">
      <c r="A5" s="4" t="s">
        <v>4</v>
      </c>
      <c r="B5" s="5">
        <v>14990</v>
      </c>
      <c r="C5" s="5">
        <v>14990</v>
      </c>
      <c r="D5" s="5">
        <v>14990</v>
      </c>
      <c r="E5" s="5">
        <v>14990</v>
      </c>
      <c r="F5" s="5">
        <v>14990</v>
      </c>
      <c r="H5" s="6" t="s">
        <v>8</v>
      </c>
      <c r="I5" s="6">
        <v>65000</v>
      </c>
      <c r="J5" s="28"/>
      <c r="S5" s="6">
        <v>3</v>
      </c>
      <c r="T5" s="11">
        <f t="shared" ref="T5:T26" si="2">T4-V4</f>
        <v>23201.667688652964</v>
      </c>
      <c r="U5" s="11">
        <f t="shared" si="0"/>
        <v>185.01335633407777</v>
      </c>
      <c r="V5" s="11">
        <f t="shared" si="1"/>
        <v>963.64258640086632</v>
      </c>
      <c r="W5" s="11">
        <v>1148.6559427349441</v>
      </c>
    </row>
    <row r="6" spans="1:23" x14ac:dyDescent="0.25">
      <c r="A6" s="8" t="s">
        <v>14</v>
      </c>
      <c r="B6" s="3">
        <f>B4+B5</f>
        <v>17330</v>
      </c>
      <c r="C6" s="3">
        <f t="shared" ref="C6:F6" si="3">C4+C5</f>
        <v>17330</v>
      </c>
      <c r="D6" s="3">
        <f t="shared" si="3"/>
        <v>17330</v>
      </c>
      <c r="E6" s="3">
        <f t="shared" si="3"/>
        <v>17330</v>
      </c>
      <c r="F6" s="3">
        <f t="shared" si="3"/>
        <v>17330</v>
      </c>
      <c r="H6" s="6" t="s">
        <v>9</v>
      </c>
      <c r="I6" s="6">
        <v>8000</v>
      </c>
      <c r="J6" s="28"/>
      <c r="L6" s="24" t="s">
        <v>59</v>
      </c>
      <c r="M6" s="35" t="s">
        <v>43</v>
      </c>
      <c r="N6" s="35" t="s">
        <v>44</v>
      </c>
      <c r="O6" s="35" t="s">
        <v>45</v>
      </c>
      <c r="P6" s="35" t="s">
        <v>46</v>
      </c>
      <c r="Q6" s="35" t="s">
        <v>47</v>
      </c>
      <c r="S6" s="6">
        <v>4</v>
      </c>
      <c r="T6" s="11">
        <f t="shared" si="2"/>
        <v>22238.025102252097</v>
      </c>
      <c r="U6" s="11">
        <f t="shared" si="0"/>
        <v>177.32913502684522</v>
      </c>
      <c r="V6" s="11">
        <f t="shared" si="1"/>
        <v>971.32680770809884</v>
      </c>
      <c r="W6" s="11">
        <v>1148.6559427349441</v>
      </c>
    </row>
    <row r="7" spans="1:23" x14ac:dyDescent="0.25">
      <c r="H7" s="6" t="s">
        <v>10</v>
      </c>
      <c r="I7" s="6">
        <f>3%*I5</f>
        <v>1950</v>
      </c>
      <c r="J7" s="28"/>
      <c r="L7" s="24" t="s">
        <v>60</v>
      </c>
      <c r="M7" s="35">
        <v>10000</v>
      </c>
      <c r="N7" s="35">
        <f>M7</f>
        <v>10000</v>
      </c>
      <c r="O7" s="35">
        <f t="shared" ref="O7:Q7" si="4">N7</f>
        <v>10000</v>
      </c>
      <c r="P7" s="35">
        <f t="shared" si="4"/>
        <v>10000</v>
      </c>
      <c r="Q7" s="35">
        <f t="shared" si="4"/>
        <v>10000</v>
      </c>
      <c r="S7" s="6">
        <v>5</v>
      </c>
      <c r="T7" s="11">
        <f t="shared" si="2"/>
        <v>21266.698294544</v>
      </c>
      <c r="U7" s="11">
        <f t="shared" si="0"/>
        <v>169.58363865982204</v>
      </c>
      <c r="V7" s="11">
        <f t="shared" si="1"/>
        <v>979.07230407512202</v>
      </c>
      <c r="W7" s="11">
        <v>1148.6559427349441</v>
      </c>
    </row>
    <row r="8" spans="1:23" x14ac:dyDescent="0.25">
      <c r="H8" s="8" t="s">
        <v>2</v>
      </c>
      <c r="I8" s="7">
        <f>I9</f>
        <v>13000</v>
      </c>
      <c r="J8" s="14"/>
      <c r="L8" s="24" t="s">
        <v>61</v>
      </c>
      <c r="M8" s="76" t="s">
        <v>62</v>
      </c>
      <c r="N8" s="76"/>
      <c r="O8" s="76"/>
      <c r="P8" s="76"/>
      <c r="Q8" s="76"/>
      <c r="S8" s="6">
        <v>6</v>
      </c>
      <c r="T8" s="11">
        <f t="shared" si="2"/>
        <v>20287.625990468878</v>
      </c>
      <c r="U8" s="11">
        <f t="shared" si="0"/>
        <v>161.77637861707666</v>
      </c>
      <c r="V8" s="11">
        <f t="shared" si="1"/>
        <v>986.8795641178674</v>
      </c>
      <c r="W8" s="11">
        <v>1148.6559427349441</v>
      </c>
    </row>
    <row r="9" spans="1:23" x14ac:dyDescent="0.25">
      <c r="A9" s="6" t="s">
        <v>52</v>
      </c>
      <c r="B9" s="8" t="s">
        <v>43</v>
      </c>
      <c r="C9" s="8" t="s">
        <v>44</v>
      </c>
      <c r="D9" s="8" t="s">
        <v>45</v>
      </c>
      <c r="E9" s="8" t="s">
        <v>46</v>
      </c>
      <c r="F9" s="8" t="s">
        <v>47</v>
      </c>
      <c r="H9" s="6" t="s">
        <v>11</v>
      </c>
      <c r="I9" s="6">
        <v>13000</v>
      </c>
      <c r="J9" s="28"/>
      <c r="S9" s="6">
        <v>7</v>
      </c>
      <c r="T9" s="11">
        <f>T8-V8</f>
        <v>19300.746426351012</v>
      </c>
      <c r="U9" s="11">
        <f t="shared" si="0"/>
        <v>153.90686238638546</v>
      </c>
      <c r="V9" s="11">
        <f t="shared" si="1"/>
        <v>994.74908034855866</v>
      </c>
      <c r="W9" s="11">
        <v>1148.6559427349441</v>
      </c>
    </row>
    <row r="10" spans="1:23" x14ac:dyDescent="0.25">
      <c r="A10" s="15" t="s">
        <v>41</v>
      </c>
      <c r="B10" s="16">
        <v>45146.40625</v>
      </c>
      <c r="C10" s="16">
        <v>45146.406250000015</v>
      </c>
      <c r="D10" s="16">
        <v>45146.406250000015</v>
      </c>
      <c r="E10" s="16">
        <v>45146.406250000015</v>
      </c>
      <c r="F10" s="16">
        <v>45146.406250000015</v>
      </c>
      <c r="H10" s="6"/>
      <c r="I10" s="6"/>
      <c r="J10" s="28"/>
      <c r="L10" s="24" t="s">
        <v>59</v>
      </c>
      <c r="M10" s="5">
        <v>1</v>
      </c>
      <c r="N10" s="5">
        <v>2</v>
      </c>
      <c r="O10" s="5">
        <v>3</v>
      </c>
      <c r="P10" s="5">
        <v>4</v>
      </c>
      <c r="Q10" s="5">
        <v>5</v>
      </c>
      <c r="S10" s="6">
        <v>8</v>
      </c>
      <c r="T10" s="11">
        <f t="shared" si="2"/>
        <v>18305.997346002452</v>
      </c>
      <c r="U10" s="11">
        <f t="shared" si="0"/>
        <v>145.97459352816315</v>
      </c>
      <c r="V10" s="11">
        <f t="shared" si="1"/>
        <v>1002.681349206781</v>
      </c>
      <c r="W10" s="11">
        <v>1148.6559427349441</v>
      </c>
    </row>
    <row r="11" spans="1:23" x14ac:dyDescent="0.25">
      <c r="A11" s="15" t="s">
        <v>48</v>
      </c>
      <c r="B11" s="10"/>
      <c r="C11" s="10"/>
      <c r="D11" s="10"/>
      <c r="E11" s="10"/>
      <c r="F11" s="10"/>
      <c r="H11" s="2" t="s">
        <v>12</v>
      </c>
      <c r="I11" s="7">
        <f>SUM(I5:I7)+I9</f>
        <v>87950</v>
      </c>
      <c r="J11" s="14"/>
      <c r="L11" s="24" t="s">
        <v>60</v>
      </c>
      <c r="M11" s="5">
        <f>10000*1.1</f>
        <v>11000</v>
      </c>
      <c r="N11" s="5">
        <f>1.1*$M$11</f>
        <v>12100.000000000002</v>
      </c>
      <c r="O11" s="5">
        <f>1.1*$N$11</f>
        <v>13310.000000000004</v>
      </c>
      <c r="P11" s="5">
        <f>1.1*$O$11</f>
        <v>14641.000000000005</v>
      </c>
      <c r="Q11" s="5">
        <f>1.1*$P$11</f>
        <v>16105.100000000008</v>
      </c>
      <c r="S11" s="6">
        <v>9</v>
      </c>
      <c r="T11" s="11">
        <f t="shared" si="2"/>
        <v>17303.315996795671</v>
      </c>
      <c r="U11" s="11">
        <f t="shared" si="0"/>
        <v>137.97907164414559</v>
      </c>
      <c r="V11" s="11">
        <f t="shared" si="1"/>
        <v>1010.6768710907985</v>
      </c>
      <c r="W11" s="11">
        <v>1148.6559427349441</v>
      </c>
    </row>
    <row r="12" spans="1:23" x14ac:dyDescent="0.25">
      <c r="A12" s="7" t="s">
        <v>26</v>
      </c>
      <c r="B12" s="3">
        <f>SUM(B13:B18)</f>
        <v>31000</v>
      </c>
      <c r="C12" s="3">
        <f t="shared" ref="C12:F12" si="5">SUM(C13:C18)</f>
        <v>31000</v>
      </c>
      <c r="D12" s="3">
        <f t="shared" si="5"/>
        <v>31000</v>
      </c>
      <c r="E12" s="3">
        <f t="shared" si="5"/>
        <v>31000</v>
      </c>
      <c r="F12" s="3">
        <f t="shared" si="5"/>
        <v>31000</v>
      </c>
      <c r="H12" s="13"/>
      <c r="I12" s="14"/>
      <c r="J12" s="14"/>
      <c r="L12" s="24" t="s">
        <v>61</v>
      </c>
      <c r="M12" s="76" t="s">
        <v>62</v>
      </c>
      <c r="N12" s="76"/>
      <c r="O12" s="76"/>
      <c r="P12" s="76"/>
      <c r="Q12" s="76"/>
      <c r="S12" s="6">
        <v>10</v>
      </c>
      <c r="T12" s="11">
        <f t="shared" si="2"/>
        <v>16292.639125704873</v>
      </c>
      <c r="U12" s="11">
        <f t="shared" si="0"/>
        <v>129.91979234582251</v>
      </c>
      <c r="V12" s="11">
        <f t="shared" si="1"/>
        <v>1018.7361503891216</v>
      </c>
      <c r="W12" s="11">
        <v>1148.6559427349441</v>
      </c>
    </row>
    <row r="13" spans="1:23" x14ac:dyDescent="0.25">
      <c r="A13" s="4" t="s">
        <v>35</v>
      </c>
      <c r="B13" s="5">
        <v>12000</v>
      </c>
      <c r="C13" s="5">
        <v>12000</v>
      </c>
      <c r="D13" s="5">
        <v>12000</v>
      </c>
      <c r="E13" s="5">
        <v>12000</v>
      </c>
      <c r="F13" s="5">
        <v>12000</v>
      </c>
      <c r="S13" s="6">
        <v>11</v>
      </c>
      <c r="T13" s="11">
        <f t="shared" si="2"/>
        <v>15273.902975315752</v>
      </c>
      <c r="U13" s="11">
        <f t="shared" si="0"/>
        <v>121.79624722261883</v>
      </c>
      <c r="V13" s="11">
        <f t="shared" si="1"/>
        <v>1026.8596955123253</v>
      </c>
      <c r="W13" s="11">
        <v>1148.6559427349441</v>
      </c>
    </row>
    <row r="14" spans="1:23" x14ac:dyDescent="0.25">
      <c r="A14" s="4" t="s">
        <v>36</v>
      </c>
      <c r="B14" s="5">
        <v>3000</v>
      </c>
      <c r="C14" s="5">
        <v>3000</v>
      </c>
      <c r="D14" s="5">
        <v>3000</v>
      </c>
      <c r="E14" s="5">
        <v>3000</v>
      </c>
      <c r="F14" s="5">
        <v>3000</v>
      </c>
      <c r="H14" s="8" t="s">
        <v>15</v>
      </c>
      <c r="I14" s="8" t="s">
        <v>16</v>
      </c>
      <c r="J14" s="8" t="s">
        <v>71</v>
      </c>
      <c r="K14" s="8" t="s">
        <v>17</v>
      </c>
      <c r="L14" s="8" t="s">
        <v>18</v>
      </c>
      <c r="M14" s="8" t="s">
        <v>19</v>
      </c>
      <c r="S14" s="6">
        <v>12</v>
      </c>
      <c r="T14" s="11">
        <f t="shared" si="2"/>
        <v>14247.043279803427</v>
      </c>
      <c r="U14" s="11">
        <f t="shared" si="0"/>
        <v>113.6079238098222</v>
      </c>
      <c r="V14" s="11">
        <f t="shared" si="1"/>
        <v>1035.0480189251218</v>
      </c>
      <c r="W14" s="11">
        <v>1148.6559427349441</v>
      </c>
    </row>
    <row r="15" spans="1:23" x14ac:dyDescent="0.25">
      <c r="A15" s="4" t="s">
        <v>37</v>
      </c>
      <c r="B15" s="5">
        <v>4000</v>
      </c>
      <c r="C15" s="5">
        <v>4000</v>
      </c>
      <c r="D15" s="5">
        <v>4000</v>
      </c>
      <c r="E15" s="5">
        <v>4000</v>
      </c>
      <c r="F15" s="5">
        <v>4000</v>
      </c>
      <c r="H15" s="6" t="s">
        <v>20</v>
      </c>
      <c r="I15" s="9">
        <v>2.1383333333333301</v>
      </c>
      <c r="J15" s="33">
        <v>24</v>
      </c>
      <c r="K15" s="9">
        <v>4.947916666666667</v>
      </c>
      <c r="L15" s="9">
        <f>I15*J15*K15</f>
        <v>253.92708333333297</v>
      </c>
      <c r="M15" s="11">
        <f>L15*12</f>
        <v>3047.1249999999955</v>
      </c>
      <c r="S15" s="6">
        <v>13</v>
      </c>
      <c r="T15" s="11">
        <f t="shared" si="2"/>
        <v>13211.995260878306</v>
      </c>
      <c r="U15" s="11">
        <f t="shared" si="0"/>
        <v>105.35430555625463</v>
      </c>
      <c r="V15" s="11">
        <f t="shared" si="1"/>
        <v>1043.3016371786896</v>
      </c>
      <c r="W15" s="11">
        <v>1148.6559427349441</v>
      </c>
    </row>
    <row r="16" spans="1:23" x14ac:dyDescent="0.25">
      <c r="A16" s="4" t="s">
        <v>38</v>
      </c>
      <c r="B16" s="5">
        <v>8000</v>
      </c>
      <c r="C16" s="5">
        <v>8000</v>
      </c>
      <c r="D16" s="5">
        <v>8000</v>
      </c>
      <c r="E16" s="5">
        <v>8000</v>
      </c>
      <c r="F16" s="5">
        <v>8000</v>
      </c>
      <c r="H16" s="6" t="s">
        <v>21</v>
      </c>
      <c r="I16" s="9">
        <v>1.5316666666666701</v>
      </c>
      <c r="J16" s="33">
        <v>24</v>
      </c>
      <c r="K16" s="9">
        <v>10.416666666666666</v>
      </c>
      <c r="L16" s="9">
        <f t="shared" ref="L16:L18" si="6">I16*J16*K16</f>
        <v>382.91666666666754</v>
      </c>
      <c r="M16" s="11">
        <f t="shared" ref="M16:M19" si="7">L16*12</f>
        <v>4595.0000000000109</v>
      </c>
      <c r="S16" s="6">
        <v>14</v>
      </c>
      <c r="T16" s="11">
        <f t="shared" si="2"/>
        <v>12168.693623699617</v>
      </c>
      <c r="U16" s="11">
        <f t="shared" si="0"/>
        <v>97.03487179168657</v>
      </c>
      <c r="V16" s="11">
        <f t="shared" si="1"/>
        <v>1051.6210709432576</v>
      </c>
      <c r="W16" s="11">
        <v>1148.6559427349441</v>
      </c>
    </row>
    <row r="17" spans="1:24" x14ac:dyDescent="0.25">
      <c r="A17" s="4" t="s">
        <v>39</v>
      </c>
      <c r="B17" s="5">
        <v>1000</v>
      </c>
      <c r="C17" s="5">
        <v>1000</v>
      </c>
      <c r="D17" s="5">
        <v>1000</v>
      </c>
      <c r="E17" s="5">
        <v>1000</v>
      </c>
      <c r="F17" s="5">
        <v>1000</v>
      </c>
      <c r="H17" s="6" t="s">
        <v>22</v>
      </c>
      <c r="I17" s="9">
        <v>1.9666666666666699</v>
      </c>
      <c r="J17" s="33">
        <v>24</v>
      </c>
      <c r="K17" s="9">
        <v>10.416666666666666</v>
      </c>
      <c r="L17" s="9">
        <f t="shared" si="6"/>
        <v>491.66666666666742</v>
      </c>
      <c r="M17" s="11">
        <f t="shared" si="7"/>
        <v>5900.0000000000091</v>
      </c>
      <c r="S17" s="6">
        <v>15</v>
      </c>
      <c r="T17" s="11">
        <f t="shared" si="2"/>
        <v>11117.072552756359</v>
      </c>
      <c r="U17" s="11">
        <f t="shared" si="0"/>
        <v>88.649097693990853</v>
      </c>
      <c r="V17" s="11">
        <f t="shared" si="1"/>
        <v>1060.0068450409533</v>
      </c>
      <c r="W17" s="11">
        <v>1148.6559427349441</v>
      </c>
    </row>
    <row r="18" spans="1:24" x14ac:dyDescent="0.25">
      <c r="A18" s="4" t="s">
        <v>40</v>
      </c>
      <c r="B18" s="5">
        <v>3000</v>
      </c>
      <c r="C18" s="5">
        <v>3000</v>
      </c>
      <c r="D18" s="5">
        <v>3000</v>
      </c>
      <c r="E18" s="5">
        <v>3000</v>
      </c>
      <c r="F18" s="5">
        <v>3000</v>
      </c>
      <c r="H18" s="6" t="s">
        <v>23</v>
      </c>
      <c r="I18" s="9">
        <v>2.4500000000000002</v>
      </c>
      <c r="J18" s="33">
        <v>24</v>
      </c>
      <c r="K18" s="9">
        <v>7.8125</v>
      </c>
      <c r="L18" s="9">
        <f t="shared" si="6"/>
        <v>459.37500000000006</v>
      </c>
      <c r="M18" s="11">
        <f t="shared" si="7"/>
        <v>5512.5000000000009</v>
      </c>
      <c r="S18" s="6">
        <v>16</v>
      </c>
      <c r="T18" s="11">
        <f t="shared" si="2"/>
        <v>10057.065707715406</v>
      </c>
      <c r="U18" s="11">
        <f t="shared" si="0"/>
        <v>80.196454256035068</v>
      </c>
      <c r="V18" s="11">
        <f t="shared" si="1"/>
        <v>1068.459488478909</v>
      </c>
      <c r="W18" s="11">
        <v>1148.6559427349441</v>
      </c>
    </row>
    <row r="19" spans="1:24" x14ac:dyDescent="0.25">
      <c r="A19" s="4" t="s">
        <v>42</v>
      </c>
      <c r="B19" s="5">
        <v>17330</v>
      </c>
      <c r="C19" s="5">
        <v>17330</v>
      </c>
      <c r="D19" s="5">
        <v>17330</v>
      </c>
      <c r="E19" s="5">
        <v>17330</v>
      </c>
      <c r="F19" s="5">
        <v>17330</v>
      </c>
      <c r="H19" s="6" t="s">
        <v>24</v>
      </c>
      <c r="I19" s="9">
        <v>1.5</v>
      </c>
      <c r="J19" s="33">
        <v>24</v>
      </c>
      <c r="K19" s="9">
        <v>4.947916666666667</v>
      </c>
      <c r="L19" s="9">
        <f>I19*J19*K19</f>
        <v>178.125</v>
      </c>
      <c r="M19" s="11">
        <f t="shared" si="7"/>
        <v>2137.5</v>
      </c>
      <c r="S19" s="6">
        <v>17</v>
      </c>
      <c r="T19" s="11">
        <f t="shared" si="2"/>
        <v>8988.6062192364971</v>
      </c>
      <c r="U19" s="11">
        <f t="shared" si="0"/>
        <v>71.676408252309557</v>
      </c>
      <c r="V19" s="11">
        <f t="shared" si="1"/>
        <v>1076.9795344826346</v>
      </c>
      <c r="W19" s="11">
        <v>1148.6559427349441</v>
      </c>
    </row>
    <row r="20" spans="1:24" x14ac:dyDescent="0.25">
      <c r="A20" s="15" t="s">
        <v>49</v>
      </c>
      <c r="B20" s="12">
        <f>B10-B12</f>
        <v>14146.40625</v>
      </c>
      <c r="C20" s="12">
        <f t="shared" ref="C20:F20" si="8">C10-C12</f>
        <v>14146.406250000015</v>
      </c>
      <c r="D20" s="12">
        <f t="shared" si="8"/>
        <v>14146.406250000015</v>
      </c>
      <c r="E20" s="12">
        <f t="shared" si="8"/>
        <v>14146.406250000015</v>
      </c>
      <c r="F20" s="12">
        <f t="shared" si="8"/>
        <v>14146.406250000015</v>
      </c>
      <c r="H20" s="8" t="s">
        <v>25</v>
      </c>
      <c r="I20" s="9"/>
      <c r="J20" s="9"/>
      <c r="K20" s="9"/>
      <c r="L20" s="9"/>
      <c r="M20" s="11">
        <f>SUM(M15:M19)</f>
        <v>21192.125000000015</v>
      </c>
      <c r="S20" s="6">
        <v>18</v>
      </c>
      <c r="T20" s="6">
        <f t="shared" si="2"/>
        <v>7911.6266847538627</v>
      </c>
      <c r="U20" s="6">
        <f t="shared" si="0"/>
        <v>63.088422205289632</v>
      </c>
      <c r="V20" s="6">
        <f t="shared" si="1"/>
        <v>1085.5675205296545</v>
      </c>
      <c r="W20" s="6">
        <v>1148.6559427349441</v>
      </c>
    </row>
    <row r="21" spans="1:24" x14ac:dyDescent="0.25">
      <c r="A21" s="18" t="s">
        <v>50</v>
      </c>
      <c r="B21" s="11">
        <f>30%*B20</f>
        <v>4243.921875</v>
      </c>
      <c r="C21" s="11">
        <f t="shared" ref="C21:F21" si="9">30%*C20</f>
        <v>4243.9218750000045</v>
      </c>
      <c r="D21" s="11">
        <f t="shared" si="9"/>
        <v>4243.9218750000045</v>
      </c>
      <c r="E21" s="11">
        <f t="shared" si="9"/>
        <v>4243.9218750000045</v>
      </c>
      <c r="F21" s="11">
        <f t="shared" si="9"/>
        <v>4243.9218750000045</v>
      </c>
      <c r="S21" s="6">
        <v>19</v>
      </c>
      <c r="T21" s="6">
        <f t="shared" si="2"/>
        <v>6826.059164224208</v>
      </c>
      <c r="U21" s="6">
        <f t="shared" si="0"/>
        <v>54.431954351529299</v>
      </c>
      <c r="V21" s="6">
        <f t="shared" si="1"/>
        <v>1094.2239883834147</v>
      </c>
      <c r="W21" s="6">
        <v>1148.6559427349441</v>
      </c>
    </row>
    <row r="22" spans="1:24" x14ac:dyDescent="0.25">
      <c r="A22" s="17" t="s">
        <v>51</v>
      </c>
      <c r="B22" s="12">
        <f>B20-B21</f>
        <v>9902.484375</v>
      </c>
      <c r="C22" s="12">
        <f t="shared" ref="C22:F22" si="10">C20-C21</f>
        <v>9902.4843750000109</v>
      </c>
      <c r="D22" s="12">
        <f t="shared" si="10"/>
        <v>9902.4843750000109</v>
      </c>
      <c r="E22" s="12">
        <f t="shared" si="10"/>
        <v>9902.4843750000109</v>
      </c>
      <c r="F22" s="12">
        <f t="shared" si="10"/>
        <v>9902.4843750000109</v>
      </c>
      <c r="H22" s="7" t="s">
        <v>27</v>
      </c>
      <c r="I22" s="6" t="s">
        <v>28</v>
      </c>
      <c r="J22" s="28"/>
      <c r="S22" s="6">
        <v>20</v>
      </c>
      <c r="T22" s="6">
        <f t="shared" si="2"/>
        <v>5731.8351758407935</v>
      </c>
      <c r="U22" s="6">
        <f t="shared" si="0"/>
        <v>45.706458607484791</v>
      </c>
      <c r="V22" s="6">
        <f t="shared" si="1"/>
        <v>1102.9494841274593</v>
      </c>
      <c r="W22" s="6">
        <v>1148.6559427349441</v>
      </c>
    </row>
    <row r="23" spans="1:24" x14ac:dyDescent="0.25">
      <c r="H23" s="6" t="s">
        <v>29</v>
      </c>
      <c r="I23" s="23">
        <v>6000</v>
      </c>
      <c r="J23" s="36"/>
      <c r="S23" s="6">
        <v>21</v>
      </c>
      <c r="T23" s="6">
        <f t="shared" si="2"/>
        <v>4628.8856917133344</v>
      </c>
      <c r="U23" s="6">
        <f t="shared" si="0"/>
        <v>36.911384535065466</v>
      </c>
      <c r="V23" s="6">
        <f t="shared" si="1"/>
        <v>1111.7445581998786</v>
      </c>
      <c r="W23" s="6">
        <v>1148.6559427349441</v>
      </c>
    </row>
    <row r="24" spans="1:24" x14ac:dyDescent="0.25">
      <c r="H24" s="6" t="s">
        <v>30</v>
      </c>
      <c r="I24" s="23">
        <v>5000</v>
      </c>
      <c r="J24" s="36"/>
      <c r="S24" s="6">
        <v>22</v>
      </c>
      <c r="T24" s="6">
        <f t="shared" si="2"/>
        <v>3517.1411335134558</v>
      </c>
      <c r="U24" s="6">
        <f t="shared" si="0"/>
        <v>28.04617730691006</v>
      </c>
      <c r="V24" s="6">
        <f t="shared" si="1"/>
        <v>1120.6097654280341</v>
      </c>
      <c r="W24" s="6">
        <v>1148.6559427349441</v>
      </c>
    </row>
    <row r="25" spans="1:24" x14ac:dyDescent="0.25">
      <c r="A25" s="8" t="s">
        <v>52</v>
      </c>
      <c r="B25" s="8" t="s">
        <v>43</v>
      </c>
      <c r="C25" s="8" t="s">
        <v>44</v>
      </c>
      <c r="D25" s="8" t="s">
        <v>45</v>
      </c>
      <c r="E25" s="8" t="s">
        <v>46</v>
      </c>
      <c r="F25" s="8" t="s">
        <v>47</v>
      </c>
      <c r="H25" s="6" t="s">
        <v>31</v>
      </c>
      <c r="I25" s="23">
        <v>2500</v>
      </c>
      <c r="J25" s="36"/>
      <c r="L25" t="s">
        <v>70</v>
      </c>
      <c r="S25" s="6">
        <v>23</v>
      </c>
      <c r="T25" s="6">
        <f t="shared" si="2"/>
        <v>2396.5313680854215</v>
      </c>
      <c r="U25" s="6">
        <f t="shared" si="0"/>
        <v>19.110277671386008</v>
      </c>
      <c r="V25" s="6">
        <f t="shared" si="1"/>
        <v>1129.5456650635581</v>
      </c>
      <c r="W25" s="6">
        <v>1148.6559427349441</v>
      </c>
    </row>
    <row r="26" spans="1:24" x14ac:dyDescent="0.25">
      <c r="A26" s="15" t="s">
        <v>41</v>
      </c>
      <c r="B26" s="16">
        <f>SUM(B27:B28)</f>
        <v>241192.125</v>
      </c>
      <c r="C26" s="16">
        <f t="shared" ref="C26:F26" si="11">SUM(C27:C28)</f>
        <v>263192.12500000006</v>
      </c>
      <c r="D26" s="16">
        <f t="shared" si="11"/>
        <v>287392.12500000006</v>
      </c>
      <c r="E26" s="16">
        <f t="shared" si="11"/>
        <v>314012.12500000012</v>
      </c>
      <c r="F26" s="16">
        <f t="shared" si="11"/>
        <v>343294.12500000017</v>
      </c>
      <c r="H26" s="6" t="s">
        <v>32</v>
      </c>
      <c r="I26" s="23">
        <v>8000</v>
      </c>
      <c r="J26" s="36"/>
      <c r="S26" s="6">
        <v>24</v>
      </c>
      <c r="T26" s="6">
        <f t="shared" si="2"/>
        <v>1266.9857030218634</v>
      </c>
      <c r="U26" s="6">
        <f t="shared" si="0"/>
        <v>10.1031219173097</v>
      </c>
      <c r="V26" s="6">
        <f t="shared" si="1"/>
        <v>1138.5528208176345</v>
      </c>
      <c r="W26" s="6">
        <v>1148.6559427349441</v>
      </c>
    </row>
    <row r="27" spans="1:24" x14ac:dyDescent="0.25">
      <c r="A27" s="26" t="s">
        <v>63</v>
      </c>
      <c r="B27" s="25">
        <f>M20</f>
        <v>21192.125000000015</v>
      </c>
      <c r="C27" s="25">
        <f>M20</f>
        <v>21192.125000000015</v>
      </c>
      <c r="D27" s="25">
        <v>21192.125000000015</v>
      </c>
      <c r="E27" s="25">
        <v>21192.125000000015</v>
      </c>
      <c r="F27" s="25">
        <v>21192.125000000015</v>
      </c>
      <c r="H27" s="6" t="s">
        <v>33</v>
      </c>
      <c r="I27" s="23">
        <v>4000</v>
      </c>
      <c r="J27" s="36"/>
    </row>
    <row r="28" spans="1:24" x14ac:dyDescent="0.25">
      <c r="A28" s="26" t="s">
        <v>64</v>
      </c>
      <c r="B28" s="10">
        <f>M11*20</f>
        <v>220000</v>
      </c>
      <c r="C28" s="10">
        <f>N11*20</f>
        <v>242000.00000000003</v>
      </c>
      <c r="D28" s="10">
        <f>O11*20</f>
        <v>266200.00000000006</v>
      </c>
      <c r="E28" s="10">
        <f>P11*20</f>
        <v>292820.00000000012</v>
      </c>
      <c r="F28" s="10">
        <f>Q11*20</f>
        <v>322102.00000000017</v>
      </c>
      <c r="H28" s="6" t="s">
        <v>34</v>
      </c>
      <c r="I28" s="23">
        <v>24000</v>
      </c>
      <c r="J28" s="36"/>
      <c r="L28" s="19">
        <f>-PMT(8%,24,H36)</f>
        <v>0</v>
      </c>
      <c r="T28" s="19"/>
    </row>
    <row r="29" spans="1:24" x14ac:dyDescent="0.25">
      <c r="A29" s="7" t="s">
        <v>74</v>
      </c>
      <c r="B29" s="3">
        <f>SUM(B30:B36)</f>
        <v>66830</v>
      </c>
      <c r="C29" s="3">
        <f t="shared" ref="C29:E29" si="12">SUM(C30:C36)</f>
        <v>66830</v>
      </c>
      <c r="D29" s="3">
        <f t="shared" si="12"/>
        <v>66830</v>
      </c>
      <c r="E29" s="3">
        <f t="shared" si="12"/>
        <v>66830</v>
      </c>
      <c r="F29" s="3">
        <f>SUM(F30:F36)</f>
        <v>66830</v>
      </c>
      <c r="H29" s="2" t="s">
        <v>12</v>
      </c>
      <c r="I29" s="3">
        <f>SUM(I23:I28)</f>
        <v>49500</v>
      </c>
      <c r="J29" s="37"/>
    </row>
    <row r="30" spans="1:24" x14ac:dyDescent="0.25">
      <c r="A30" s="4" t="s">
        <v>72</v>
      </c>
      <c r="B30" s="5">
        <v>24000</v>
      </c>
      <c r="C30" s="23">
        <v>24000</v>
      </c>
      <c r="D30" s="23">
        <v>24000</v>
      </c>
      <c r="E30" s="23">
        <v>24000</v>
      </c>
      <c r="F30" s="23">
        <v>24000</v>
      </c>
      <c r="L30" t="s">
        <v>58</v>
      </c>
    </row>
    <row r="31" spans="1:24" x14ac:dyDescent="0.25">
      <c r="A31" s="4" t="s">
        <v>36</v>
      </c>
      <c r="B31" s="5">
        <v>4000</v>
      </c>
      <c r="C31" s="23">
        <v>4000</v>
      </c>
      <c r="D31" s="23">
        <v>4000</v>
      </c>
      <c r="E31" s="23">
        <v>4000</v>
      </c>
      <c r="F31" s="23">
        <v>4000</v>
      </c>
    </row>
    <row r="32" spans="1:24" x14ac:dyDescent="0.25">
      <c r="A32" s="4" t="s">
        <v>37</v>
      </c>
      <c r="B32" s="5">
        <v>5000</v>
      </c>
      <c r="C32" s="23">
        <v>5000</v>
      </c>
      <c r="D32" s="23">
        <v>5000</v>
      </c>
      <c r="E32" s="23">
        <v>5000</v>
      </c>
      <c r="F32" s="23">
        <v>5000</v>
      </c>
      <c r="I32" s="79"/>
      <c r="J32" s="27"/>
      <c r="K32" s="79"/>
      <c r="L32" s="79"/>
      <c r="M32" s="79"/>
      <c r="N32" s="79"/>
      <c r="O32" s="28"/>
      <c r="P32" s="28"/>
      <c r="Q32" s="28"/>
      <c r="R32" s="28"/>
      <c r="S32" s="79"/>
      <c r="T32" s="79"/>
      <c r="U32" s="79"/>
      <c r="V32" s="79"/>
      <c r="W32" s="79"/>
      <c r="X32" s="28"/>
    </row>
    <row r="33" spans="1:24" x14ac:dyDescent="0.25">
      <c r="A33" s="4" t="s">
        <v>38</v>
      </c>
      <c r="B33" s="5">
        <v>8000</v>
      </c>
      <c r="C33" s="23">
        <v>8000</v>
      </c>
      <c r="D33" s="23">
        <v>8000</v>
      </c>
      <c r="E33" s="23">
        <v>8000</v>
      </c>
      <c r="F33" s="23">
        <v>8000</v>
      </c>
      <c r="I33" s="79"/>
      <c r="J33" s="27"/>
      <c r="K33" s="79"/>
      <c r="L33" s="79"/>
      <c r="M33" s="79"/>
      <c r="N33" s="79"/>
      <c r="O33" s="28"/>
      <c r="P33" s="28"/>
      <c r="Q33" s="28"/>
      <c r="R33" s="28"/>
      <c r="S33" s="79"/>
      <c r="T33" s="79"/>
      <c r="U33" s="79"/>
      <c r="V33" s="79"/>
      <c r="W33" s="79"/>
      <c r="X33" s="28"/>
    </row>
    <row r="34" spans="1:24" x14ac:dyDescent="0.25">
      <c r="A34" s="4" t="s">
        <v>39</v>
      </c>
      <c r="B34" s="5">
        <v>2500</v>
      </c>
      <c r="C34" s="23">
        <v>2500</v>
      </c>
      <c r="D34" s="23">
        <v>2500</v>
      </c>
      <c r="E34" s="23">
        <v>2500</v>
      </c>
      <c r="F34" s="23">
        <v>2500</v>
      </c>
      <c r="I34" s="28"/>
      <c r="J34" s="28"/>
      <c r="K34" s="29"/>
      <c r="L34" s="29"/>
      <c r="M34" s="29"/>
      <c r="N34" s="29"/>
      <c r="O34" s="28"/>
      <c r="P34" s="28"/>
      <c r="Q34" s="28"/>
      <c r="R34" s="28"/>
      <c r="S34" s="30"/>
      <c r="T34" s="31"/>
      <c r="U34" s="31"/>
      <c r="V34" s="31"/>
      <c r="W34" s="31"/>
      <c r="X34" s="28"/>
    </row>
    <row r="35" spans="1:24" x14ac:dyDescent="0.25">
      <c r="A35" s="4" t="s">
        <v>40</v>
      </c>
      <c r="B35" s="5">
        <v>6000</v>
      </c>
      <c r="C35" s="23">
        <v>6000</v>
      </c>
      <c r="D35" s="23">
        <v>6000</v>
      </c>
      <c r="E35" s="23">
        <v>6000</v>
      </c>
      <c r="F35" s="23">
        <v>6000</v>
      </c>
      <c r="I35" s="28"/>
      <c r="J35" s="28"/>
      <c r="K35" s="29"/>
      <c r="L35" s="29"/>
      <c r="M35" s="29"/>
      <c r="N35" s="29"/>
      <c r="O35" s="28"/>
      <c r="P35" s="28"/>
      <c r="Q35" s="28"/>
      <c r="R35" s="28"/>
      <c r="S35" s="30"/>
      <c r="T35" s="31"/>
      <c r="U35" s="31"/>
      <c r="V35" s="31"/>
      <c r="W35" s="31"/>
      <c r="X35" s="28"/>
    </row>
    <row r="36" spans="1:24" x14ac:dyDescent="0.25">
      <c r="A36" s="4" t="s">
        <v>42</v>
      </c>
      <c r="B36" s="5">
        <v>17330</v>
      </c>
      <c r="C36" s="5">
        <v>17330</v>
      </c>
      <c r="D36" s="5">
        <v>17330</v>
      </c>
      <c r="E36" s="5">
        <v>17330</v>
      </c>
      <c r="F36" s="5">
        <v>17330</v>
      </c>
      <c r="I36" s="28"/>
      <c r="J36" s="28"/>
      <c r="K36" s="29"/>
      <c r="L36" s="29"/>
      <c r="M36" s="29"/>
      <c r="N36" s="29"/>
      <c r="O36" s="28"/>
      <c r="P36" s="28"/>
      <c r="Q36" s="28"/>
      <c r="R36" s="28"/>
      <c r="S36" s="30"/>
      <c r="T36" s="31"/>
      <c r="U36" s="31"/>
      <c r="V36" s="31"/>
      <c r="W36" s="31"/>
      <c r="X36" s="28"/>
    </row>
    <row r="37" spans="1:24" x14ac:dyDescent="0.25">
      <c r="A37" s="38" t="s">
        <v>49</v>
      </c>
      <c r="B37" s="12">
        <f>B26-SUM(B30:B36)</f>
        <v>174362.125</v>
      </c>
      <c r="C37" s="12">
        <f>C26-SUM(C30:C36)</f>
        <v>196362.12500000006</v>
      </c>
      <c r="D37" s="12">
        <f>D26-SUM(D30:D36)</f>
        <v>220562.12500000006</v>
      </c>
      <c r="E37" s="12">
        <f>E26-SUM(E30:E36)</f>
        <v>247182.12500000012</v>
      </c>
      <c r="F37" s="12">
        <f>F26-SUM(F30:F36)</f>
        <v>276464.12500000017</v>
      </c>
      <c r="I37" s="28"/>
      <c r="J37" s="77" t="s">
        <v>53</v>
      </c>
      <c r="K37" s="78" t="s">
        <v>65</v>
      </c>
      <c r="L37" s="78" t="s">
        <v>66</v>
      </c>
      <c r="M37" s="78" t="s">
        <v>67</v>
      </c>
      <c r="N37" s="78" t="s">
        <v>68</v>
      </c>
      <c r="O37" s="28"/>
      <c r="P37" s="28"/>
      <c r="Q37" s="28"/>
      <c r="R37" s="28"/>
      <c r="S37" s="30"/>
      <c r="T37" s="31"/>
      <c r="U37" s="31"/>
      <c r="V37" s="31"/>
      <c r="W37" s="31"/>
      <c r="X37" s="28"/>
    </row>
    <row r="38" spans="1:24" x14ac:dyDescent="0.25">
      <c r="A38" s="18" t="s">
        <v>73</v>
      </c>
      <c r="B38" s="11">
        <f>30%*B37</f>
        <v>52308.637499999997</v>
      </c>
      <c r="C38" s="11">
        <f>30%*C37</f>
        <v>58908.637500000019</v>
      </c>
      <c r="D38" s="11">
        <f>30%*D37</f>
        <v>66168.637500000012</v>
      </c>
      <c r="E38" s="11">
        <f>30%*E37</f>
        <v>74154.637500000026</v>
      </c>
      <c r="F38" s="11">
        <f>30%*F37</f>
        <v>82939.237500000047</v>
      </c>
      <c r="I38" s="28"/>
      <c r="J38" s="77"/>
      <c r="K38" s="78"/>
      <c r="L38" s="78"/>
      <c r="M38" s="78"/>
      <c r="N38" s="78"/>
      <c r="O38" s="28"/>
      <c r="P38" s="28"/>
      <c r="Q38" s="28"/>
      <c r="R38" s="28"/>
      <c r="S38" s="30"/>
      <c r="T38" s="31"/>
      <c r="U38" s="31"/>
      <c r="V38" s="31"/>
      <c r="W38" s="31"/>
      <c r="X38" s="28"/>
    </row>
    <row r="39" spans="1:24" x14ac:dyDescent="0.25">
      <c r="A39" s="39" t="s">
        <v>51</v>
      </c>
      <c r="B39" s="12">
        <f>B37-B38</f>
        <v>122053.4875</v>
      </c>
      <c r="C39" s="12">
        <f>C37-C38</f>
        <v>137453.48750000005</v>
      </c>
      <c r="D39" s="12">
        <f>D37-D38</f>
        <v>154393.48750000005</v>
      </c>
      <c r="E39" s="12">
        <f>E37-E38</f>
        <v>173027.4875000001</v>
      </c>
      <c r="F39" s="12">
        <f>F37-F38</f>
        <v>193524.88750000013</v>
      </c>
      <c r="I39" s="28"/>
      <c r="J39" s="8">
        <v>1</v>
      </c>
      <c r="K39" s="35">
        <v>25000</v>
      </c>
      <c r="L39" s="35">
        <f>K39*$I$44</f>
        <v>199.35351072259411</v>
      </c>
      <c r="M39" s="35">
        <f>N39-L39</f>
        <v>949.30243201234998</v>
      </c>
      <c r="N39" s="35">
        <f>-PMT(I44,24,K39)</f>
        <v>1148.6559427349441</v>
      </c>
      <c r="O39" s="28"/>
      <c r="P39" s="28"/>
      <c r="Q39" s="28"/>
      <c r="R39" s="28"/>
      <c r="S39" s="30"/>
      <c r="T39" s="31"/>
      <c r="U39" s="31"/>
      <c r="V39" s="31"/>
      <c r="W39" s="31"/>
      <c r="X39" s="28"/>
    </row>
    <row r="40" spans="1:24" x14ac:dyDescent="0.25">
      <c r="I40" s="28"/>
      <c r="J40" s="8">
        <v>2</v>
      </c>
      <c r="K40" s="35">
        <f>K39-M39</f>
        <v>24050.697567987649</v>
      </c>
      <c r="L40" s="35">
        <f t="shared" ref="L40:L62" si="13">K40*$I$44</f>
        <v>191.78363982022776</v>
      </c>
      <c r="M40" s="35">
        <f t="shared" ref="M40:M62" si="14">N40-L40</f>
        <v>956.87230291471633</v>
      </c>
      <c r="N40" s="35">
        <v>1148.6559427349441</v>
      </c>
      <c r="O40" s="28"/>
      <c r="P40" s="28"/>
      <c r="Q40" s="28"/>
      <c r="R40" s="28"/>
      <c r="S40" s="30"/>
      <c r="T40" s="31"/>
      <c r="U40" s="31"/>
      <c r="V40" s="31"/>
      <c r="W40" s="31"/>
      <c r="X40" s="28"/>
    </row>
    <row r="41" spans="1:24" x14ac:dyDescent="0.25">
      <c r="I41" s="28"/>
      <c r="J41" s="8">
        <v>3</v>
      </c>
      <c r="K41" s="35">
        <f t="shared" ref="K41:K62" si="15">K40-M40</f>
        <v>23093.825265072934</v>
      </c>
      <c r="L41" s="35">
        <f t="shared" si="13"/>
        <v>184.15340570425727</v>
      </c>
      <c r="M41" s="35">
        <f t="shared" si="14"/>
        <v>964.50253703068688</v>
      </c>
      <c r="N41" s="35">
        <v>1148.6559427349441</v>
      </c>
      <c r="O41" s="28"/>
      <c r="P41" s="28"/>
      <c r="Q41" s="28"/>
      <c r="R41" s="28"/>
      <c r="S41" s="30"/>
      <c r="T41" s="31"/>
      <c r="U41" s="31"/>
      <c r="V41" s="31"/>
      <c r="W41" s="31"/>
      <c r="X41" s="28"/>
    </row>
    <row r="42" spans="1:24" x14ac:dyDescent="0.25">
      <c r="I42" s="28"/>
      <c r="J42" s="8">
        <v>4</v>
      </c>
      <c r="K42" s="35">
        <f t="shared" si="15"/>
        <v>22129.322728042247</v>
      </c>
      <c r="L42" s="35">
        <f t="shared" si="13"/>
        <v>176.46232702994061</v>
      </c>
      <c r="M42" s="35">
        <f t="shared" si="14"/>
        <v>972.19361570500348</v>
      </c>
      <c r="N42" s="35">
        <v>1148.6559427349441</v>
      </c>
      <c r="O42" s="28"/>
      <c r="P42" s="28"/>
      <c r="Q42" s="28"/>
      <c r="R42" s="28"/>
      <c r="S42" s="30"/>
      <c r="T42" s="31"/>
      <c r="U42" s="31"/>
      <c r="V42" s="31"/>
      <c r="W42" s="31"/>
      <c r="X42" s="28"/>
    </row>
    <row r="43" spans="1:24" x14ac:dyDescent="0.25">
      <c r="I43" s="28"/>
      <c r="J43" s="8">
        <v>5</v>
      </c>
      <c r="K43" s="35">
        <f t="shared" si="15"/>
        <v>21157.129112337243</v>
      </c>
      <c r="L43" s="35">
        <f t="shared" si="13"/>
        <v>168.70991861422522</v>
      </c>
      <c r="M43" s="35">
        <f t="shared" si="14"/>
        <v>979.9460241207189</v>
      </c>
      <c r="N43" s="35">
        <v>1148.6559427349441</v>
      </c>
      <c r="O43" s="28"/>
      <c r="P43" s="28"/>
      <c r="Q43" s="28"/>
      <c r="R43" s="28"/>
      <c r="S43" s="30"/>
      <c r="T43" s="31"/>
      <c r="U43" s="31"/>
      <c r="V43" s="31"/>
      <c r="W43" s="31"/>
      <c r="X43" s="28"/>
    </row>
    <row r="44" spans="1:24" x14ac:dyDescent="0.25">
      <c r="I44" s="40">
        <f>(1.1)^(1/12)-1</f>
        <v>7.9741404289037643E-3</v>
      </c>
      <c r="J44" s="8">
        <v>6</v>
      </c>
      <c r="K44" s="35">
        <f t="shared" si="15"/>
        <v>20177.183088216523</v>
      </c>
      <c r="L44" s="35">
        <f t="shared" si="13"/>
        <v>160.8956914051407</v>
      </c>
      <c r="M44" s="35">
        <f t="shared" si="14"/>
        <v>987.7602513298034</v>
      </c>
      <c r="N44" s="35">
        <v>1148.6559427349441</v>
      </c>
      <c r="O44" s="28"/>
      <c r="P44" s="28"/>
      <c r="Q44" s="28"/>
      <c r="R44" s="28"/>
      <c r="S44" s="30"/>
      <c r="T44" s="31"/>
      <c r="U44" s="31"/>
      <c r="V44" s="31"/>
      <c r="W44" s="31"/>
      <c r="X44" s="28"/>
    </row>
    <row r="45" spans="1:24" x14ac:dyDescent="0.25">
      <c r="I45" s="28"/>
      <c r="J45" s="8">
        <v>7</v>
      </c>
      <c r="K45" s="35">
        <f t="shared" si="15"/>
        <v>19189.422836886719</v>
      </c>
      <c r="L45" s="35">
        <f t="shared" si="13"/>
        <v>153.01915245094756</v>
      </c>
      <c r="M45" s="35">
        <f t="shared" si="14"/>
        <v>995.63679028399656</v>
      </c>
      <c r="N45" s="35">
        <v>1148.6559427349441</v>
      </c>
      <c r="O45" s="28"/>
      <c r="P45" s="28"/>
      <c r="Q45" s="28"/>
      <c r="R45" s="28"/>
      <c r="S45" s="30"/>
      <c r="T45" s="31"/>
      <c r="U45" s="31"/>
      <c r="V45" s="31"/>
      <c r="W45" s="31"/>
      <c r="X45" s="28"/>
    </row>
    <row r="46" spans="1:24" x14ac:dyDescent="0.25">
      <c r="I46" s="28"/>
      <c r="J46" s="8">
        <v>8</v>
      </c>
      <c r="K46" s="35">
        <f t="shared" si="15"/>
        <v>18193.786046602723</v>
      </c>
      <c r="L46" s="35">
        <f t="shared" si="13"/>
        <v>145.07980486903998</v>
      </c>
      <c r="M46" s="35">
        <f t="shared" si="14"/>
        <v>1003.5761378659041</v>
      </c>
      <c r="N46" s="35">
        <v>1148.6559427349441</v>
      </c>
      <c r="O46" s="28"/>
      <c r="P46" s="28"/>
      <c r="Q46" s="28"/>
      <c r="R46" s="28"/>
      <c r="S46" s="30"/>
      <c r="T46" s="31"/>
      <c r="U46" s="31"/>
      <c r="V46" s="31"/>
      <c r="W46" s="31"/>
      <c r="X46" s="28"/>
    </row>
    <row r="47" spans="1:24" x14ac:dyDescent="0.25">
      <c r="H47" s="19">
        <f>FV(I44,24,,K39)</f>
        <v>-30250.000000000022</v>
      </c>
      <c r="I47" s="28"/>
      <c r="J47" s="8">
        <v>9</v>
      </c>
      <c r="K47" s="35">
        <f t="shared" si="15"/>
        <v>17190.209908736819</v>
      </c>
      <c r="L47" s="35">
        <f t="shared" si="13"/>
        <v>137.07714781460035</v>
      </c>
      <c r="M47" s="35">
        <f t="shared" si="14"/>
        <v>1011.5787949203437</v>
      </c>
      <c r="N47" s="35">
        <v>1148.6559427349441</v>
      </c>
      <c r="O47" s="28"/>
      <c r="P47" s="28"/>
      <c r="Q47" s="28"/>
      <c r="R47" s="28"/>
      <c r="S47" s="30"/>
      <c r="T47" s="31"/>
      <c r="U47" s="31"/>
      <c r="V47" s="31"/>
      <c r="W47" s="31"/>
      <c r="X47" s="28"/>
    </row>
    <row r="48" spans="1:24" x14ac:dyDescent="0.25">
      <c r="I48" s="28"/>
      <c r="J48" s="8">
        <v>10</v>
      </c>
      <c r="K48" s="35">
        <f t="shared" si="15"/>
        <v>16178.631113816475</v>
      </c>
      <c r="L48" s="35">
        <f t="shared" si="13"/>
        <v>129.01067644900428</v>
      </c>
      <c r="M48" s="35">
        <f t="shared" si="14"/>
        <v>1019.6452662859399</v>
      </c>
      <c r="N48" s="35">
        <v>1148.6559427349441</v>
      </c>
      <c r="O48" s="28"/>
      <c r="P48" s="28"/>
      <c r="Q48" s="28"/>
      <c r="R48" s="28"/>
      <c r="S48" s="30"/>
      <c r="T48" s="31"/>
      <c r="U48" s="31"/>
      <c r="V48" s="31"/>
      <c r="W48" s="31"/>
      <c r="X48" s="28"/>
    </row>
    <row r="49" spans="1:24" x14ac:dyDescent="0.25">
      <c r="H49" s="19">
        <f>FV(I44,24,N39)</f>
        <v>-30250.000000000047</v>
      </c>
      <c r="I49" s="28"/>
      <c r="J49" s="8">
        <v>11</v>
      </c>
      <c r="K49" s="35">
        <f t="shared" si="15"/>
        <v>15158.985847530535</v>
      </c>
      <c r="L49" s="35">
        <f t="shared" si="13"/>
        <v>120.87988190797324</v>
      </c>
      <c r="M49" s="35">
        <f t="shared" si="14"/>
        <v>1027.7760608269709</v>
      </c>
      <c r="N49" s="35">
        <v>1148.6559427349441</v>
      </c>
      <c r="O49" s="28"/>
      <c r="P49" s="28"/>
      <c r="Q49" s="28"/>
      <c r="R49" s="28"/>
      <c r="S49" s="30"/>
      <c r="T49" s="31"/>
      <c r="U49" s="31"/>
      <c r="V49" s="31"/>
      <c r="W49" s="31"/>
      <c r="X49" s="28"/>
    </row>
    <row r="50" spans="1:24" x14ac:dyDescent="0.25">
      <c r="A50" s="19"/>
      <c r="I50" s="28"/>
      <c r="J50" s="8">
        <v>12</v>
      </c>
      <c r="K50" s="35">
        <f t="shared" si="15"/>
        <v>14131.209786703565</v>
      </c>
      <c r="L50" s="35">
        <f t="shared" si="13"/>
        <v>112.68425126947344</v>
      </c>
      <c r="M50" s="35">
        <f t="shared" si="14"/>
        <v>1035.9716914654707</v>
      </c>
      <c r="N50" s="35">
        <v>1148.6559427349441</v>
      </c>
      <c r="O50" s="28"/>
      <c r="P50" s="28"/>
      <c r="Q50" s="28"/>
      <c r="R50" s="28"/>
      <c r="S50" s="30"/>
      <c r="T50" s="31"/>
      <c r="U50" s="31"/>
      <c r="V50" s="31"/>
      <c r="W50" s="31"/>
      <c r="X50" s="28"/>
    </row>
    <row r="51" spans="1:24" x14ac:dyDescent="0.25">
      <c r="B51" s="77" t="s">
        <v>53</v>
      </c>
      <c r="C51" s="77" t="s">
        <v>65</v>
      </c>
      <c r="D51" s="77" t="s">
        <v>66</v>
      </c>
      <c r="E51" s="77" t="s">
        <v>67</v>
      </c>
      <c r="F51" s="77" t="s">
        <v>68</v>
      </c>
      <c r="G51" s="77" t="s">
        <v>69</v>
      </c>
      <c r="I51" s="28"/>
      <c r="J51" s="8">
        <v>13</v>
      </c>
      <c r="K51" s="35">
        <f t="shared" si="15"/>
        <v>13095.238095238094</v>
      </c>
      <c r="L51" s="35">
        <f t="shared" si="13"/>
        <v>104.42326752135881</v>
      </c>
      <c r="M51" s="35">
        <f t="shared" si="14"/>
        <v>1044.2326752135853</v>
      </c>
      <c r="N51" s="35">
        <v>1148.6559427349441</v>
      </c>
      <c r="O51" s="29">
        <f>SUM(N39:N50)</f>
        <v>13783.871312819329</v>
      </c>
      <c r="P51" s="55">
        <f>SUM(L39:L50)</f>
        <v>1879.1094080574242</v>
      </c>
      <c r="Q51" s="29">
        <f>SUM(M39:M50)</f>
        <v>11904.761904761905</v>
      </c>
      <c r="R51" s="28"/>
      <c r="S51" s="30"/>
      <c r="T51" s="31"/>
      <c r="U51" s="31"/>
      <c r="V51" s="31"/>
      <c r="W51" s="31"/>
      <c r="X51" s="28"/>
    </row>
    <row r="52" spans="1:24" x14ac:dyDescent="0.25">
      <c r="B52" s="77"/>
      <c r="C52" s="77"/>
      <c r="D52" s="77"/>
      <c r="E52" s="77"/>
      <c r="F52" s="77"/>
      <c r="G52" s="77"/>
      <c r="I52" s="28"/>
      <c r="J52" s="8">
        <v>14</v>
      </c>
      <c r="K52" s="35">
        <f t="shared" si="15"/>
        <v>12051.005420024509</v>
      </c>
      <c r="L52" s="35">
        <f t="shared" si="13"/>
        <v>96.096409528755828</v>
      </c>
      <c r="M52" s="35">
        <f t="shared" si="14"/>
        <v>1052.5595332061882</v>
      </c>
      <c r="N52" s="35">
        <v>1148.6559427349441</v>
      </c>
      <c r="O52" s="28"/>
      <c r="P52" s="55"/>
      <c r="Q52" s="28"/>
      <c r="R52" s="28"/>
      <c r="S52" s="28"/>
      <c r="T52" s="29"/>
      <c r="U52" s="28"/>
      <c r="V52" s="29"/>
      <c r="W52" s="28"/>
      <c r="X52" s="28"/>
    </row>
    <row r="53" spans="1:24" x14ac:dyDescent="0.25">
      <c r="B53" s="8">
        <v>1</v>
      </c>
      <c r="C53" s="32">
        <v>25000</v>
      </c>
      <c r="D53" s="32">
        <f>4.88%*C53</f>
        <v>1220</v>
      </c>
      <c r="E53" s="32">
        <f>F53-D53</f>
        <v>5810.6536124127897</v>
      </c>
      <c r="F53" s="32">
        <v>7030.6536124127897</v>
      </c>
      <c r="G53" s="32">
        <f>C53-E53</f>
        <v>19189.346387587211</v>
      </c>
      <c r="I53" s="28"/>
      <c r="J53" s="8">
        <v>15</v>
      </c>
      <c r="K53" s="35">
        <f t="shared" si="15"/>
        <v>10998.445886818321</v>
      </c>
      <c r="L53" s="35">
        <f t="shared" si="13"/>
        <v>87.703152001188286</v>
      </c>
      <c r="M53" s="35">
        <f t="shared" si="14"/>
        <v>1060.9527907337558</v>
      </c>
      <c r="N53" s="35">
        <v>1148.6559427349441</v>
      </c>
      <c r="O53" s="28"/>
      <c r="P53" s="55"/>
      <c r="Q53" s="28"/>
      <c r="R53" s="28"/>
      <c r="S53" s="28"/>
      <c r="T53" s="29"/>
      <c r="U53" s="28"/>
      <c r="V53" s="29"/>
      <c r="W53" s="28"/>
      <c r="X53" s="28"/>
    </row>
    <row r="54" spans="1:24" x14ac:dyDescent="0.25">
      <c r="B54" s="8">
        <v>2</v>
      </c>
      <c r="C54" s="32">
        <f>C53-E53</f>
        <v>19189.346387587211</v>
      </c>
      <c r="D54" s="32">
        <f t="shared" ref="D54:D56" si="16">4.88%*C54</f>
        <v>936.44010371425588</v>
      </c>
      <c r="E54" s="32">
        <f t="shared" ref="E54:E56" si="17">F54-D54</f>
        <v>6094.213508698529</v>
      </c>
      <c r="F54" s="32">
        <v>7030.6536124127852</v>
      </c>
      <c r="G54" s="32">
        <f t="shared" ref="G54:G56" si="18">C54-E54</f>
        <v>13095.132878888682</v>
      </c>
      <c r="I54" s="28"/>
      <c r="J54" s="8">
        <v>16</v>
      </c>
      <c r="K54" s="35">
        <f t="shared" si="15"/>
        <v>9937.493096084565</v>
      </c>
      <c r="L54" s="35">
        <f t="shared" si="13"/>
        <v>79.242965459439972</v>
      </c>
      <c r="M54" s="35">
        <f t="shared" si="14"/>
        <v>1069.4129772755041</v>
      </c>
      <c r="N54" s="35">
        <v>1148.6559427349441</v>
      </c>
      <c r="O54" s="28"/>
      <c r="P54" s="55"/>
      <c r="Q54" s="28"/>
      <c r="R54" s="28"/>
      <c r="S54" s="28"/>
      <c r="T54" s="29"/>
      <c r="U54" s="28"/>
      <c r="V54" s="29"/>
      <c r="W54" s="28"/>
      <c r="X54" s="28"/>
    </row>
    <row r="55" spans="1:24" x14ac:dyDescent="0.25">
      <c r="B55" s="8">
        <v>3</v>
      </c>
      <c r="C55" s="32">
        <f t="shared" ref="C55:C56" si="19">C54-E54</f>
        <v>13095.132878888682</v>
      </c>
      <c r="D55" s="32">
        <f t="shared" si="16"/>
        <v>639.04248448976762</v>
      </c>
      <c r="E55" s="32">
        <f t="shared" si="17"/>
        <v>6391.6111279230172</v>
      </c>
      <c r="F55" s="32">
        <v>7030.6536124127852</v>
      </c>
      <c r="G55" s="32">
        <f t="shared" si="18"/>
        <v>6703.521750965665</v>
      </c>
      <c r="I55" s="28"/>
      <c r="J55" s="8">
        <v>17</v>
      </c>
      <c r="K55" s="35">
        <f t="shared" si="15"/>
        <v>8868.0801188090609</v>
      </c>
      <c r="L55" s="35">
        <f t="shared" si="13"/>
        <v>70.715316202153033</v>
      </c>
      <c r="M55" s="35">
        <f t="shared" si="14"/>
        <v>1077.9406265327912</v>
      </c>
      <c r="N55" s="35">
        <v>1148.6559427349441</v>
      </c>
      <c r="O55" s="28"/>
      <c r="P55" s="55"/>
      <c r="Q55" s="28"/>
      <c r="R55" s="28"/>
      <c r="S55" s="28"/>
      <c r="T55" s="29"/>
      <c r="U55" s="28"/>
      <c r="V55" s="29"/>
      <c r="W55" s="28"/>
      <c r="X55" s="28"/>
    </row>
    <row r="56" spans="1:24" x14ac:dyDescent="0.25">
      <c r="B56" s="8">
        <v>4</v>
      </c>
      <c r="C56" s="32">
        <f t="shared" si="19"/>
        <v>6703.521750965665</v>
      </c>
      <c r="D56" s="32">
        <f t="shared" si="16"/>
        <v>327.13186144712444</v>
      </c>
      <c r="E56" s="32">
        <f t="shared" si="17"/>
        <v>6703.5217509656604</v>
      </c>
      <c r="F56" s="32">
        <v>7030.6536124127852</v>
      </c>
      <c r="G56" s="33">
        <f t="shared" si="18"/>
        <v>0</v>
      </c>
      <c r="I56" s="28"/>
      <c r="J56" s="8">
        <v>18</v>
      </c>
      <c r="K56" s="35">
        <f t="shared" si="15"/>
        <v>7790.1394922762702</v>
      </c>
      <c r="L56" s="35">
        <f t="shared" si="13"/>
        <v>62.119666272160046</v>
      </c>
      <c r="M56" s="35">
        <f t="shared" si="14"/>
        <v>1086.5362764627841</v>
      </c>
      <c r="N56" s="35">
        <v>1148.6559427349441</v>
      </c>
      <c r="O56" s="28"/>
      <c r="P56" s="55"/>
      <c r="Q56" s="28"/>
      <c r="R56" s="28"/>
      <c r="S56" s="28"/>
      <c r="T56" s="29"/>
      <c r="U56" s="28"/>
      <c r="V56" s="29"/>
      <c r="W56" s="28"/>
      <c r="X56" s="28"/>
    </row>
    <row r="57" spans="1:24" x14ac:dyDescent="0.25">
      <c r="C57" s="22"/>
      <c r="D57" s="22"/>
      <c r="E57" s="22"/>
      <c r="F57" s="22"/>
      <c r="I57" s="28"/>
      <c r="J57" s="8">
        <v>19</v>
      </c>
      <c r="K57" s="35">
        <f t="shared" si="15"/>
        <v>6703.6032158134858</v>
      </c>
      <c r="L57" s="35">
        <f t="shared" si="13"/>
        <v>53.455473422547605</v>
      </c>
      <c r="M57" s="35">
        <f t="shared" si="14"/>
        <v>1095.2004693123965</v>
      </c>
      <c r="N57" s="35">
        <v>1148.6559427349441</v>
      </c>
      <c r="O57" s="28"/>
      <c r="P57" s="55"/>
      <c r="Q57" s="28"/>
      <c r="R57" s="28"/>
      <c r="S57" s="28"/>
      <c r="T57" s="29"/>
      <c r="U57" s="28"/>
      <c r="V57" s="29"/>
      <c r="W57" s="28"/>
      <c r="X57" s="28"/>
    </row>
    <row r="58" spans="1:24" x14ac:dyDescent="0.25">
      <c r="I58" s="28"/>
      <c r="J58" s="8">
        <v>20</v>
      </c>
      <c r="K58" s="35">
        <f t="shared" si="15"/>
        <v>5608.4027465010895</v>
      </c>
      <c r="L58" s="35">
        <f t="shared" si="13"/>
        <v>44.72219108244925</v>
      </c>
      <c r="M58" s="35">
        <f t="shared" si="14"/>
        <v>1103.9337516524949</v>
      </c>
      <c r="N58" s="35">
        <v>1148.6559427349441</v>
      </c>
      <c r="O58" s="28"/>
      <c r="P58" s="55"/>
      <c r="Q58" s="28"/>
      <c r="R58" s="28"/>
      <c r="S58" s="28"/>
      <c r="T58" s="28"/>
      <c r="U58" s="28"/>
      <c r="V58" s="28"/>
      <c r="W58" s="28"/>
      <c r="X58" s="28"/>
    </row>
    <row r="59" spans="1:24" x14ac:dyDescent="0.25">
      <c r="A59" s="28"/>
      <c r="B59" s="28"/>
      <c r="C59" s="28"/>
      <c r="D59" s="28"/>
      <c r="E59" s="28"/>
      <c r="F59" s="28"/>
      <c r="G59" s="28"/>
      <c r="J59" s="8">
        <v>21</v>
      </c>
      <c r="K59" s="35">
        <f t="shared" si="15"/>
        <v>4504.4689948485948</v>
      </c>
      <c r="L59" s="35">
        <f t="shared" si="13"/>
        <v>35.919268322565685</v>
      </c>
      <c r="M59" s="35">
        <f t="shared" si="14"/>
        <v>1112.7366744123785</v>
      </c>
      <c r="N59" s="35">
        <v>1148.6559427349441</v>
      </c>
      <c r="P59" s="44"/>
    </row>
    <row r="60" spans="1:24" x14ac:dyDescent="0.25">
      <c r="A60" s="8" t="s">
        <v>52</v>
      </c>
      <c r="B60" s="8" t="s">
        <v>43</v>
      </c>
      <c r="C60" s="8" t="s">
        <v>44</v>
      </c>
      <c r="D60" s="8" t="s">
        <v>45</v>
      </c>
      <c r="E60" s="8" t="s">
        <v>46</v>
      </c>
      <c r="F60" s="8" t="s">
        <v>47</v>
      </c>
      <c r="G60" s="28"/>
      <c r="J60" s="8">
        <v>22</v>
      </c>
      <c r="K60" s="35">
        <f t="shared" si="15"/>
        <v>3391.7323204362165</v>
      </c>
      <c r="L60" s="35">
        <f t="shared" si="13"/>
        <v>27.046149820410012</v>
      </c>
      <c r="M60" s="35">
        <f t="shared" si="14"/>
        <v>1121.6097929145342</v>
      </c>
      <c r="N60" s="35">
        <v>1148.6559427349441</v>
      </c>
      <c r="P60" s="44"/>
    </row>
    <row r="61" spans="1:24" x14ac:dyDescent="0.25">
      <c r="A61" s="2" t="s">
        <v>41</v>
      </c>
      <c r="B61" s="3">
        <f>SUM(B62:B63)</f>
        <v>41192</v>
      </c>
      <c r="C61" s="3">
        <f t="shared" ref="C61:F61" si="20">SUM(C62:C63)</f>
        <v>63192.000000000029</v>
      </c>
      <c r="D61" s="3">
        <f t="shared" si="20"/>
        <v>87392.000000000058</v>
      </c>
      <c r="E61" s="3">
        <f t="shared" si="20"/>
        <v>114012.00000000012</v>
      </c>
      <c r="F61" s="3">
        <f t="shared" si="20"/>
        <v>143294.00000000017</v>
      </c>
      <c r="G61" s="28"/>
      <c r="J61" s="8">
        <v>23</v>
      </c>
      <c r="K61" s="35">
        <f t="shared" si="15"/>
        <v>2270.1225275216821</v>
      </c>
      <c r="L61" s="35">
        <f t="shared" si="13"/>
        <v>18.102275825275843</v>
      </c>
      <c r="M61" s="35">
        <f t="shared" si="14"/>
        <v>1130.5536669096682</v>
      </c>
      <c r="N61" s="35">
        <v>1148.6559427349441</v>
      </c>
      <c r="P61" s="44"/>
    </row>
    <row r="62" spans="1:24" x14ac:dyDescent="0.25">
      <c r="A62" s="48" t="s">
        <v>63</v>
      </c>
      <c r="B62" s="47">
        <v>21192</v>
      </c>
      <c r="C62" s="47">
        <v>21192</v>
      </c>
      <c r="D62" s="47">
        <v>21192</v>
      </c>
      <c r="E62" s="47">
        <v>21192</v>
      </c>
      <c r="F62" s="47">
        <v>21192</v>
      </c>
      <c r="G62" s="28"/>
      <c r="J62" s="8">
        <v>24</v>
      </c>
      <c r="K62" s="35">
        <f t="shared" si="15"/>
        <v>1139.5688606120139</v>
      </c>
      <c r="L62" s="35">
        <f t="shared" si="13"/>
        <v>9.0870821229260574</v>
      </c>
      <c r="M62" s="35">
        <f t="shared" si="14"/>
        <v>1139.5688606120182</v>
      </c>
      <c r="N62" s="35">
        <v>1148.6559427349441</v>
      </c>
      <c r="P62" s="44"/>
    </row>
    <row r="63" spans="1:24" x14ac:dyDescent="0.25">
      <c r="A63" s="48" t="s">
        <v>93</v>
      </c>
      <c r="B63" s="42">
        <f>M94</f>
        <v>20000</v>
      </c>
      <c r="C63" s="42">
        <f t="shared" ref="C63:F63" si="21">N94</f>
        <v>42000.000000000029</v>
      </c>
      <c r="D63" s="42">
        <f t="shared" si="21"/>
        <v>66200.000000000058</v>
      </c>
      <c r="E63" s="42">
        <f t="shared" si="21"/>
        <v>92820.000000000116</v>
      </c>
      <c r="F63" s="42">
        <f t="shared" si="21"/>
        <v>122102.00000000017</v>
      </c>
      <c r="G63" s="28"/>
      <c r="N63" s="29"/>
      <c r="O63" s="41">
        <f>SUM(N51:N62)</f>
        <v>13783.871312819329</v>
      </c>
      <c r="P63" s="44">
        <f>SUM(L51:L62)</f>
        <v>688.6332175812305</v>
      </c>
      <c r="Q63" s="41">
        <f>SUM(M51:M62)</f>
        <v>13095.238095238101</v>
      </c>
    </row>
    <row r="64" spans="1:24" x14ac:dyDescent="0.25">
      <c r="A64" s="2" t="s">
        <v>48</v>
      </c>
      <c r="B64" s="42"/>
      <c r="C64" s="42"/>
      <c r="D64" s="42"/>
      <c r="E64" s="42"/>
      <c r="F64" s="42"/>
      <c r="G64" s="28"/>
      <c r="N64" s="29"/>
    </row>
    <row r="65" spans="1:17" x14ac:dyDescent="0.25">
      <c r="A65" s="7" t="s">
        <v>26</v>
      </c>
      <c r="B65" s="3">
        <f>SUM(B66:B72)</f>
        <v>58830</v>
      </c>
      <c r="C65" s="3">
        <f t="shared" ref="C65:E65" si="22">SUM(C66:C72)</f>
        <v>58830</v>
      </c>
      <c r="D65" s="3">
        <f t="shared" si="22"/>
        <v>58830</v>
      </c>
      <c r="E65" s="3">
        <f t="shared" si="22"/>
        <v>58830</v>
      </c>
      <c r="F65" s="3">
        <f>SUM(F66:F72)</f>
        <v>58830</v>
      </c>
      <c r="G65" s="28"/>
    </row>
    <row r="66" spans="1:17" x14ac:dyDescent="0.25">
      <c r="A66" s="4" t="s">
        <v>92</v>
      </c>
      <c r="B66" s="42">
        <v>24000</v>
      </c>
      <c r="C66" s="42">
        <v>24000</v>
      </c>
      <c r="D66" s="42">
        <v>24000</v>
      </c>
      <c r="E66" s="42">
        <v>24000</v>
      </c>
      <c r="F66" s="42">
        <v>24000</v>
      </c>
      <c r="G66" s="28"/>
    </row>
    <row r="67" spans="1:17" x14ac:dyDescent="0.25">
      <c r="A67" s="4" t="s">
        <v>36</v>
      </c>
      <c r="B67" s="42">
        <v>2000</v>
      </c>
      <c r="C67" s="42">
        <v>2000</v>
      </c>
      <c r="D67" s="42">
        <v>2000</v>
      </c>
      <c r="E67" s="42">
        <v>2000</v>
      </c>
      <c r="F67" s="42">
        <v>2000</v>
      </c>
      <c r="G67" s="28"/>
    </row>
    <row r="68" spans="1:17" x14ac:dyDescent="0.25">
      <c r="A68" s="4" t="s">
        <v>37</v>
      </c>
      <c r="B68" s="42">
        <v>3000</v>
      </c>
      <c r="C68" s="42">
        <v>3000</v>
      </c>
      <c r="D68" s="42">
        <v>3000</v>
      </c>
      <c r="E68" s="42">
        <v>3000</v>
      </c>
      <c r="F68" s="42">
        <v>3000</v>
      </c>
      <c r="G68" s="28"/>
    </row>
    <row r="69" spans="1:17" x14ac:dyDescent="0.25">
      <c r="A69" s="4" t="s">
        <v>38</v>
      </c>
      <c r="B69" s="42">
        <v>8000</v>
      </c>
      <c r="C69" s="42">
        <v>8000</v>
      </c>
      <c r="D69" s="42">
        <v>8000</v>
      </c>
      <c r="E69" s="42">
        <v>8000</v>
      </c>
      <c r="F69" s="42">
        <v>8000</v>
      </c>
      <c r="G69" s="28"/>
    </row>
    <row r="70" spans="1:17" x14ac:dyDescent="0.25">
      <c r="A70" s="4" t="s">
        <v>39</v>
      </c>
      <c r="B70" s="42">
        <v>1500</v>
      </c>
      <c r="C70" s="42">
        <v>1500</v>
      </c>
      <c r="D70" s="42">
        <v>1500</v>
      </c>
      <c r="E70" s="42">
        <v>1500</v>
      </c>
      <c r="F70" s="42">
        <v>1500</v>
      </c>
      <c r="G70" s="28"/>
      <c r="H70" s="49"/>
      <c r="L70" s="24" t="s">
        <v>59</v>
      </c>
      <c r="M70" s="35" t="s">
        <v>43</v>
      </c>
      <c r="N70" s="35" t="s">
        <v>44</v>
      </c>
      <c r="O70" s="35" t="s">
        <v>45</v>
      </c>
      <c r="P70" s="35" t="s">
        <v>46</v>
      </c>
      <c r="Q70" s="35" t="s">
        <v>47</v>
      </c>
    </row>
    <row r="71" spans="1:17" x14ac:dyDescent="0.25">
      <c r="A71" s="4" t="s">
        <v>40</v>
      </c>
      <c r="B71" s="42">
        <v>3000</v>
      </c>
      <c r="C71" s="42">
        <v>3000</v>
      </c>
      <c r="D71" s="42">
        <v>3000</v>
      </c>
      <c r="E71" s="42">
        <v>3000</v>
      </c>
      <c r="F71" s="42">
        <v>3000</v>
      </c>
      <c r="G71" s="28"/>
      <c r="L71" s="24" t="s">
        <v>60</v>
      </c>
      <c r="M71" s="35">
        <v>10000</v>
      </c>
      <c r="N71" s="35">
        <f>M71</f>
        <v>10000</v>
      </c>
      <c r="O71" s="35">
        <f t="shared" ref="O71:Q71" si="23">N71</f>
        <v>10000</v>
      </c>
      <c r="P71" s="35">
        <f t="shared" si="23"/>
        <v>10000</v>
      </c>
      <c r="Q71" s="35">
        <f t="shared" si="23"/>
        <v>10000</v>
      </c>
    </row>
    <row r="72" spans="1:17" x14ac:dyDescent="0.25">
      <c r="A72" s="4" t="s">
        <v>42</v>
      </c>
      <c r="B72" s="42">
        <v>17330</v>
      </c>
      <c r="C72" s="42">
        <v>17330</v>
      </c>
      <c r="D72" s="42">
        <v>17330</v>
      </c>
      <c r="E72" s="42">
        <v>17330</v>
      </c>
      <c r="F72" s="42">
        <v>17330</v>
      </c>
      <c r="G72" s="28"/>
      <c r="L72" s="24" t="s">
        <v>61</v>
      </c>
      <c r="M72" s="76" t="s">
        <v>62</v>
      </c>
      <c r="N72" s="76"/>
      <c r="O72" s="76"/>
      <c r="P72" s="76"/>
      <c r="Q72" s="76"/>
    </row>
    <row r="73" spans="1:17" x14ac:dyDescent="0.25">
      <c r="A73" s="15" t="s">
        <v>49</v>
      </c>
      <c r="B73" s="3">
        <f>B61-B65</f>
        <v>-17638</v>
      </c>
      <c r="C73" s="3">
        <f t="shared" ref="C73:F73" si="24">C61-C65</f>
        <v>4362.0000000000291</v>
      </c>
      <c r="D73" s="3">
        <f t="shared" si="24"/>
        <v>28562.000000000058</v>
      </c>
      <c r="E73" s="3">
        <f t="shared" si="24"/>
        <v>55182.000000000116</v>
      </c>
      <c r="F73" s="3">
        <f t="shared" si="24"/>
        <v>84464.000000000175</v>
      </c>
      <c r="G73" s="28"/>
    </row>
    <row r="74" spans="1:17" x14ac:dyDescent="0.25">
      <c r="A74" s="18" t="s">
        <v>73</v>
      </c>
      <c r="B74" s="42">
        <f>30%*B73</f>
        <v>-5291.4</v>
      </c>
      <c r="C74" s="42">
        <f>30%*C73</f>
        <v>1308.6000000000088</v>
      </c>
      <c r="D74" s="42">
        <f>30%*D73</f>
        <v>8568.6000000000167</v>
      </c>
      <c r="E74" s="42">
        <f>30%*E73</f>
        <v>16554.600000000035</v>
      </c>
      <c r="F74" s="42">
        <f>30%*F73</f>
        <v>25339.200000000052</v>
      </c>
      <c r="G74" s="28"/>
    </row>
    <row r="75" spans="1:17" x14ac:dyDescent="0.25">
      <c r="A75" s="17" t="s">
        <v>51</v>
      </c>
      <c r="B75" s="3">
        <f>B73-B74</f>
        <v>-12346.6</v>
      </c>
      <c r="C75" s="3">
        <f>C73-C74</f>
        <v>3053.4000000000206</v>
      </c>
      <c r="D75" s="3">
        <f>D73-D74</f>
        <v>19993.400000000041</v>
      </c>
      <c r="E75" s="3">
        <f>E73-E74</f>
        <v>38627.400000000081</v>
      </c>
      <c r="F75" s="3">
        <f>F73-F74</f>
        <v>59124.800000000119</v>
      </c>
      <c r="G75" s="28"/>
      <c r="L75" s="10" t="s">
        <v>59</v>
      </c>
      <c r="M75" s="35" t="s">
        <v>43</v>
      </c>
      <c r="N75" s="35" t="s">
        <v>44</v>
      </c>
      <c r="O75" s="35" t="s">
        <v>45</v>
      </c>
      <c r="P75" s="35" t="s">
        <v>46</v>
      </c>
      <c r="Q75" s="35" t="s">
        <v>47</v>
      </c>
    </row>
    <row r="76" spans="1:17" x14ac:dyDescent="0.25">
      <c r="A76" s="28"/>
      <c r="B76" s="28"/>
      <c r="C76" s="28"/>
      <c r="D76" s="28"/>
      <c r="E76" s="28"/>
      <c r="F76" s="28"/>
      <c r="G76" s="28"/>
      <c r="L76" s="24" t="s">
        <v>60</v>
      </c>
      <c r="M76" s="35">
        <v>10000</v>
      </c>
      <c r="N76" s="35">
        <f>M76</f>
        <v>10000</v>
      </c>
      <c r="O76" s="35">
        <f t="shared" ref="O76:Q76" si="25">N76</f>
        <v>10000</v>
      </c>
      <c r="P76" s="35">
        <f t="shared" si="25"/>
        <v>10000</v>
      </c>
      <c r="Q76" s="35">
        <f t="shared" si="25"/>
        <v>10000</v>
      </c>
    </row>
    <row r="77" spans="1:17" x14ac:dyDescent="0.25">
      <c r="A77" s="28"/>
      <c r="B77" s="28"/>
      <c r="C77" s="28"/>
      <c r="D77" s="28"/>
      <c r="E77" s="28"/>
      <c r="F77" s="28"/>
      <c r="G77" s="28"/>
    </row>
    <row r="78" spans="1:17" x14ac:dyDescent="0.25">
      <c r="A78" s="28"/>
      <c r="B78" s="28"/>
      <c r="C78" s="28"/>
      <c r="D78" s="28"/>
      <c r="E78" s="28"/>
      <c r="F78" s="28"/>
      <c r="G78" s="28"/>
    </row>
    <row r="80" spans="1:17" x14ac:dyDescent="0.25">
      <c r="L80" s="24" t="s">
        <v>59</v>
      </c>
      <c r="M80" s="35">
        <v>1</v>
      </c>
      <c r="N80" s="35">
        <v>2</v>
      </c>
      <c r="O80" s="35">
        <v>3</v>
      </c>
      <c r="P80" s="35">
        <v>4</v>
      </c>
      <c r="Q80" s="35">
        <v>5</v>
      </c>
    </row>
    <row r="81" spans="1:17" x14ac:dyDescent="0.25">
      <c r="L81" s="24" t="s">
        <v>60</v>
      </c>
      <c r="M81" s="35">
        <f>10000*1.1</f>
        <v>11000</v>
      </c>
      <c r="N81" s="35">
        <f>1.1*$M$11</f>
        <v>12100.000000000002</v>
      </c>
      <c r="O81" s="35">
        <f>1.1*$N$11</f>
        <v>13310.000000000004</v>
      </c>
      <c r="P81" s="35">
        <f>1.1*$O$11</f>
        <v>14641.000000000005</v>
      </c>
      <c r="Q81" s="35">
        <f>1.1*$P$11</f>
        <v>16105.100000000008</v>
      </c>
    </row>
    <row r="82" spans="1:17" x14ac:dyDescent="0.25">
      <c r="L82" s="24" t="s">
        <v>61</v>
      </c>
      <c r="M82" s="76" t="s">
        <v>62</v>
      </c>
      <c r="N82" s="76"/>
      <c r="O82" s="76"/>
      <c r="P82" s="76"/>
      <c r="Q82" s="76"/>
    </row>
    <row r="85" spans="1:17" x14ac:dyDescent="0.25">
      <c r="L85" s="4" t="s">
        <v>59</v>
      </c>
      <c r="M85" s="8" t="s">
        <v>43</v>
      </c>
      <c r="N85" s="8" t="s">
        <v>44</v>
      </c>
      <c r="O85" s="8" t="s">
        <v>45</v>
      </c>
      <c r="P85" s="8" t="s">
        <v>46</v>
      </c>
      <c r="Q85" s="8" t="s">
        <v>47</v>
      </c>
    </row>
    <row r="86" spans="1:17" x14ac:dyDescent="0.25">
      <c r="L86" s="4" t="s">
        <v>60</v>
      </c>
      <c r="M86" s="35">
        <f>M81</f>
        <v>11000</v>
      </c>
      <c r="N86" s="35">
        <f t="shared" ref="N86:Q86" si="26">N81</f>
        <v>12100.000000000002</v>
      </c>
      <c r="O86" s="35">
        <f t="shared" si="26"/>
        <v>13310.000000000004</v>
      </c>
      <c r="P86" s="35">
        <f t="shared" si="26"/>
        <v>14641.000000000005</v>
      </c>
      <c r="Q86" s="35">
        <f t="shared" si="26"/>
        <v>16105.100000000008</v>
      </c>
    </row>
    <row r="90" spans="1:17" x14ac:dyDescent="0.25">
      <c r="A90" s="8" t="s">
        <v>52</v>
      </c>
      <c r="B90" s="8" t="s">
        <v>43</v>
      </c>
      <c r="C90" s="8" t="s">
        <v>44</v>
      </c>
      <c r="D90" s="8" t="s">
        <v>45</v>
      </c>
      <c r="E90" s="8" t="s">
        <v>46</v>
      </c>
      <c r="F90" s="8" t="s">
        <v>47</v>
      </c>
    </row>
    <row r="91" spans="1:17" x14ac:dyDescent="0.25">
      <c r="A91" s="50" t="s">
        <v>41</v>
      </c>
      <c r="B91" s="3">
        <f>SUM(B92:B93)</f>
        <v>41192</v>
      </c>
      <c r="C91" s="3">
        <f t="shared" ref="C91" si="27">SUM(C92:C93)</f>
        <v>63192.000000000029</v>
      </c>
      <c r="D91" s="3">
        <f t="shared" ref="D91" si="28">SUM(D92:D93)</f>
        <v>87392.000000000058</v>
      </c>
      <c r="E91" s="3">
        <f t="shared" ref="E91" si="29">SUM(E92:E93)</f>
        <v>114012.00000000012</v>
      </c>
      <c r="F91" s="3">
        <f t="shared" ref="F91" si="30">SUM(F92:F93)</f>
        <v>143294.00000000017</v>
      </c>
      <c r="L91" s="46" t="s">
        <v>91</v>
      </c>
      <c r="M91" s="8" t="s">
        <v>43</v>
      </c>
      <c r="N91" s="8" t="s">
        <v>44</v>
      </c>
      <c r="O91" s="8" t="s">
        <v>45</v>
      </c>
      <c r="P91" s="8" t="s">
        <v>46</v>
      </c>
      <c r="Q91" s="8" t="s">
        <v>47</v>
      </c>
    </row>
    <row r="92" spans="1:17" x14ac:dyDescent="0.25">
      <c r="A92" s="51" t="s">
        <v>63</v>
      </c>
      <c r="B92" s="47">
        <v>21192</v>
      </c>
      <c r="C92" s="47">
        <v>21192</v>
      </c>
      <c r="D92" s="47">
        <v>21192</v>
      </c>
      <c r="E92" s="47">
        <v>21192</v>
      </c>
      <c r="F92" s="47">
        <v>21192</v>
      </c>
      <c r="L92" s="24" t="s">
        <v>88</v>
      </c>
      <c r="M92" s="35">
        <f>M76*20</f>
        <v>200000</v>
      </c>
      <c r="N92" s="35">
        <f>N76*20</f>
        <v>200000</v>
      </c>
      <c r="O92" s="35">
        <f>O76*20</f>
        <v>200000</v>
      </c>
      <c r="P92" s="35">
        <f>P76*20</f>
        <v>200000</v>
      </c>
      <c r="Q92" s="35">
        <f>Q76*20</f>
        <v>200000</v>
      </c>
    </row>
    <row r="93" spans="1:17" x14ac:dyDescent="0.25">
      <c r="A93" s="51" t="s">
        <v>93</v>
      </c>
      <c r="B93" s="35">
        <f>B63</f>
        <v>20000</v>
      </c>
      <c r="C93" s="35">
        <f t="shared" ref="C93:F93" si="31">C63</f>
        <v>42000.000000000029</v>
      </c>
      <c r="D93" s="35">
        <f t="shared" si="31"/>
        <v>66200.000000000058</v>
      </c>
      <c r="E93" s="35">
        <f t="shared" si="31"/>
        <v>92820.000000000116</v>
      </c>
      <c r="F93" s="35">
        <f t="shared" si="31"/>
        <v>122102.00000000017</v>
      </c>
      <c r="L93" s="4" t="s">
        <v>90</v>
      </c>
      <c r="M93" s="35">
        <f>M86*20</f>
        <v>220000</v>
      </c>
      <c r="N93" s="35">
        <f>N86*20</f>
        <v>242000.00000000003</v>
      </c>
      <c r="O93" s="35">
        <f>O86*20</f>
        <v>266200.00000000006</v>
      </c>
      <c r="P93" s="35">
        <f>P86*20</f>
        <v>292820.00000000012</v>
      </c>
      <c r="Q93" s="35">
        <f>Q86*20</f>
        <v>322102.00000000017</v>
      </c>
    </row>
    <row r="94" spans="1:17" x14ac:dyDescent="0.25">
      <c r="A94" s="52" t="s">
        <v>48</v>
      </c>
      <c r="B94" s="35"/>
      <c r="C94" s="35"/>
      <c r="D94" s="35"/>
      <c r="E94" s="35"/>
      <c r="F94" s="35"/>
      <c r="L94" s="8" t="s">
        <v>89</v>
      </c>
      <c r="M94" s="35">
        <f>M93-M92</f>
        <v>20000</v>
      </c>
      <c r="N94" s="35">
        <f>N93-N92</f>
        <v>42000.000000000029</v>
      </c>
      <c r="O94" s="35">
        <f>O93-O92</f>
        <v>66200.000000000058</v>
      </c>
      <c r="P94" s="35">
        <f>P93-P92</f>
        <v>92820.000000000116</v>
      </c>
      <c r="Q94" s="35">
        <f>Q93-Q92</f>
        <v>122102.00000000017</v>
      </c>
    </row>
    <row r="95" spans="1:17" x14ac:dyDescent="0.25">
      <c r="A95" s="53" t="s">
        <v>26</v>
      </c>
      <c r="B95" s="3">
        <f>SUM(B96:B102)</f>
        <v>58830</v>
      </c>
      <c r="C95" s="3">
        <f t="shared" ref="C95" si="32">SUM(C96:C102)</f>
        <v>58830</v>
      </c>
      <c r="D95" s="3">
        <f t="shared" ref="D95" si="33">SUM(D96:D102)</f>
        <v>58830</v>
      </c>
      <c r="E95" s="3">
        <f t="shared" ref="E95" si="34">SUM(E96:E102)</f>
        <v>58830</v>
      </c>
      <c r="F95" s="3">
        <f>SUM(F96:F102)</f>
        <v>58830</v>
      </c>
      <c r="G95" s="41"/>
    </row>
    <row r="96" spans="1:17" x14ac:dyDescent="0.25">
      <c r="A96" s="54" t="s">
        <v>92</v>
      </c>
      <c r="B96" s="35">
        <v>24000</v>
      </c>
      <c r="C96" s="35">
        <v>24000</v>
      </c>
      <c r="D96" s="35">
        <v>24000</v>
      </c>
      <c r="E96" s="35">
        <v>24000</v>
      </c>
      <c r="F96" s="35">
        <v>24000</v>
      </c>
    </row>
    <row r="97" spans="1:7" x14ac:dyDescent="0.25">
      <c r="A97" s="54" t="s">
        <v>36</v>
      </c>
      <c r="B97" s="35">
        <v>2000</v>
      </c>
      <c r="C97" s="35">
        <v>2000</v>
      </c>
      <c r="D97" s="35">
        <v>2000</v>
      </c>
      <c r="E97" s="35">
        <v>2000</v>
      </c>
      <c r="F97" s="35">
        <v>2000</v>
      </c>
    </row>
    <row r="98" spans="1:7" x14ac:dyDescent="0.25">
      <c r="A98" s="54" t="s">
        <v>37</v>
      </c>
      <c r="B98" s="35">
        <v>3000</v>
      </c>
      <c r="C98" s="35">
        <v>3000</v>
      </c>
      <c r="D98" s="35">
        <v>3000</v>
      </c>
      <c r="E98" s="35">
        <v>3000</v>
      </c>
      <c r="F98" s="35">
        <v>3000</v>
      </c>
    </row>
    <row r="99" spans="1:7" x14ac:dyDescent="0.25">
      <c r="A99" s="54" t="s">
        <v>38</v>
      </c>
      <c r="B99" s="35">
        <v>8000</v>
      </c>
      <c r="C99" s="35">
        <v>8000</v>
      </c>
      <c r="D99" s="35">
        <v>8000</v>
      </c>
      <c r="E99" s="35">
        <v>8000</v>
      </c>
      <c r="F99" s="35">
        <v>8000</v>
      </c>
    </row>
    <row r="100" spans="1:7" x14ac:dyDescent="0.25">
      <c r="A100" s="54" t="s">
        <v>39</v>
      </c>
      <c r="B100" s="35">
        <v>1500</v>
      </c>
      <c r="C100" s="35">
        <v>1500</v>
      </c>
      <c r="D100" s="35">
        <v>1500</v>
      </c>
      <c r="E100" s="35">
        <v>1500</v>
      </c>
      <c r="F100" s="35">
        <v>1500</v>
      </c>
    </row>
    <row r="101" spans="1:7" x14ac:dyDescent="0.25">
      <c r="A101" s="54" t="s">
        <v>40</v>
      </c>
      <c r="B101" s="35">
        <v>3000</v>
      </c>
      <c r="C101" s="35">
        <v>3000</v>
      </c>
      <c r="D101" s="35">
        <v>3000</v>
      </c>
      <c r="E101" s="35">
        <v>3000</v>
      </c>
      <c r="F101" s="35">
        <v>3000</v>
      </c>
    </row>
    <row r="102" spans="1:7" x14ac:dyDescent="0.25">
      <c r="A102" s="54" t="s">
        <v>42</v>
      </c>
      <c r="B102" s="35">
        <v>17330</v>
      </c>
      <c r="C102" s="35">
        <v>17330</v>
      </c>
      <c r="D102" s="35">
        <v>17330</v>
      </c>
      <c r="E102" s="35">
        <v>17330</v>
      </c>
      <c r="F102" s="35">
        <v>17330</v>
      </c>
    </row>
    <row r="103" spans="1:7" x14ac:dyDescent="0.25">
      <c r="A103" s="4" t="s">
        <v>75</v>
      </c>
      <c r="B103" s="23">
        <f>P51</f>
        <v>1879.1094080574242</v>
      </c>
      <c r="C103" s="23">
        <f>P63</f>
        <v>688.6332175812305</v>
      </c>
      <c r="D103" s="23">
        <v>0</v>
      </c>
      <c r="E103" s="23">
        <v>0</v>
      </c>
      <c r="F103" s="23">
        <v>0</v>
      </c>
    </row>
    <row r="104" spans="1:7" x14ac:dyDescent="0.25">
      <c r="A104" s="38" t="s">
        <v>49</v>
      </c>
      <c r="B104" s="3">
        <f>B91-B95-B103</f>
        <v>-19517.109408057426</v>
      </c>
      <c r="C104" s="3">
        <f t="shared" ref="C104:F104" si="35">C91-C95-C103</f>
        <v>3673.3667824187987</v>
      </c>
      <c r="D104" s="3">
        <f t="shared" si="35"/>
        <v>28562.000000000058</v>
      </c>
      <c r="E104" s="3">
        <f t="shared" si="35"/>
        <v>55182.000000000116</v>
      </c>
      <c r="F104" s="3">
        <f t="shared" si="35"/>
        <v>84464.000000000175</v>
      </c>
    </row>
    <row r="105" spans="1:7" x14ac:dyDescent="0.25">
      <c r="A105" s="18" t="s">
        <v>73</v>
      </c>
      <c r="B105" s="35">
        <f>30%*B104</f>
        <v>-5855.1328224172275</v>
      </c>
      <c r="C105" s="35">
        <f t="shared" ref="C105:E105" si="36">30%*C104</f>
        <v>1102.0100347256396</v>
      </c>
      <c r="D105" s="35">
        <f t="shared" si="36"/>
        <v>8568.6000000000167</v>
      </c>
      <c r="E105" s="35">
        <f t="shared" si="36"/>
        <v>16554.600000000035</v>
      </c>
      <c r="F105" s="35">
        <f>30%*F104</f>
        <v>25339.200000000052</v>
      </c>
    </row>
    <row r="106" spans="1:7" x14ac:dyDescent="0.25">
      <c r="A106" s="39" t="s">
        <v>51</v>
      </c>
      <c r="B106" s="3">
        <f>B104-B105</f>
        <v>-13661.976585640197</v>
      </c>
      <c r="C106" s="3">
        <f t="shared" ref="C106:F106" si="37">C104-C105</f>
        <v>2571.3567476931594</v>
      </c>
      <c r="D106" s="3">
        <f t="shared" si="37"/>
        <v>19993.400000000041</v>
      </c>
      <c r="E106" s="3">
        <f t="shared" si="37"/>
        <v>38627.400000000081</v>
      </c>
      <c r="F106" s="3">
        <f t="shared" si="37"/>
        <v>59124.800000000119</v>
      </c>
    </row>
    <row r="111" spans="1:7" x14ac:dyDescent="0.25">
      <c r="A111" s="8" t="s">
        <v>76</v>
      </c>
      <c r="B111" s="6" t="s">
        <v>77</v>
      </c>
      <c r="C111" s="6" t="s">
        <v>43</v>
      </c>
      <c r="D111" s="6" t="s">
        <v>44</v>
      </c>
      <c r="E111" s="6" t="s">
        <v>45</v>
      </c>
      <c r="F111" s="6" t="s">
        <v>46</v>
      </c>
      <c r="G111" s="6" t="s">
        <v>47</v>
      </c>
    </row>
    <row r="112" spans="1:7" x14ac:dyDescent="0.25">
      <c r="A112" s="6" t="s">
        <v>78</v>
      </c>
      <c r="B112" s="43">
        <v>25000</v>
      </c>
      <c r="C112" s="43"/>
      <c r="D112" s="43"/>
      <c r="E112" s="43"/>
      <c r="F112" s="43"/>
      <c r="G112" s="43"/>
    </row>
    <row r="113" spans="1:9" x14ac:dyDescent="0.25">
      <c r="A113" s="6" t="s">
        <v>79</v>
      </c>
      <c r="B113" s="43"/>
      <c r="C113" s="43"/>
      <c r="D113" s="43"/>
      <c r="E113" s="43"/>
      <c r="F113" s="43"/>
      <c r="G113" s="43"/>
      <c r="H113">
        <v>56346.33</v>
      </c>
      <c r="I113">
        <f>0.3*34400</f>
        <v>10320</v>
      </c>
    </row>
    <row r="114" spans="1:9" x14ac:dyDescent="0.25">
      <c r="A114" s="6" t="s">
        <v>79</v>
      </c>
      <c r="B114" s="43"/>
      <c r="C114" s="43">
        <f>-Q51</f>
        <v>-11904.761904761905</v>
      </c>
      <c r="D114" s="43">
        <f>-Q63</f>
        <v>-13095.238095238101</v>
      </c>
      <c r="E114" s="43">
        <v>0</v>
      </c>
      <c r="F114" s="43">
        <v>0</v>
      </c>
      <c r="G114" s="43">
        <v>0</v>
      </c>
      <c r="H114">
        <v>34400</v>
      </c>
    </row>
    <row r="115" spans="1:9" x14ac:dyDescent="0.25">
      <c r="A115" s="6" t="s">
        <v>80</v>
      </c>
      <c r="B115" s="43"/>
      <c r="C115" s="43">
        <f>-P51</f>
        <v>-1879.1094080574242</v>
      </c>
      <c r="D115" s="43">
        <f>-P63</f>
        <v>-688.6332175812305</v>
      </c>
      <c r="E115" s="43">
        <v>0</v>
      </c>
      <c r="F115" s="43">
        <v>0</v>
      </c>
      <c r="G115" s="43">
        <v>0</v>
      </c>
      <c r="H115">
        <f>-10320</f>
        <v>-10320</v>
      </c>
    </row>
    <row r="116" spans="1:9" x14ac:dyDescent="0.25">
      <c r="A116" s="6" t="s">
        <v>81</v>
      </c>
      <c r="B116" s="43"/>
      <c r="C116" s="43">
        <f>-30%*C115</f>
        <v>563.73282241722723</v>
      </c>
      <c r="D116" s="43">
        <f>-30%*D115</f>
        <v>206.58996527436915</v>
      </c>
      <c r="E116" s="43"/>
      <c r="F116" s="43"/>
      <c r="G116" s="43"/>
      <c r="H116">
        <f>SUM(H113:H115)</f>
        <v>80426.33</v>
      </c>
    </row>
    <row r="117" spans="1:9" x14ac:dyDescent="0.25">
      <c r="A117" s="6" t="s">
        <v>82</v>
      </c>
      <c r="B117" s="43"/>
      <c r="C117" s="43">
        <f>SUM(C114:C116)</f>
        <v>-13220.138490402102</v>
      </c>
      <c r="D117" s="43">
        <f>SUM(D114:D116)</f>
        <v>-13577.281347544964</v>
      </c>
      <c r="E117" s="43"/>
      <c r="F117" s="43"/>
      <c r="G117" s="43"/>
    </row>
    <row r="118" spans="1:9" x14ac:dyDescent="0.25">
      <c r="A118" s="6" t="s">
        <v>83</v>
      </c>
      <c r="B118" s="43"/>
      <c r="C118" s="56">
        <v>1.03</v>
      </c>
      <c r="D118" s="56">
        <f>1.03*C118</f>
        <v>1.0609</v>
      </c>
      <c r="E118" s="43"/>
      <c r="F118" s="43"/>
      <c r="G118" s="43"/>
    </row>
    <row r="119" spans="1:9" x14ac:dyDescent="0.25">
      <c r="A119" s="57" t="s">
        <v>84</v>
      </c>
      <c r="B119" s="58">
        <v>25000</v>
      </c>
      <c r="C119" s="58">
        <f>C117/C118</f>
        <v>-12835.085913011748</v>
      </c>
      <c r="D119" s="58">
        <f>D117/D118</f>
        <v>-12797.889855353911</v>
      </c>
      <c r="E119" s="58"/>
      <c r="F119" s="58"/>
      <c r="G119" s="58"/>
      <c r="H119">
        <f>1.5%*70</f>
        <v>1.05</v>
      </c>
    </row>
    <row r="120" spans="1:9" x14ac:dyDescent="0.25">
      <c r="H120">
        <f>98.5%*80426.33</f>
        <v>79219.93505</v>
      </c>
    </row>
    <row r="123" spans="1:9" x14ac:dyDescent="0.25">
      <c r="A123" s="8" t="s">
        <v>76</v>
      </c>
      <c r="B123" s="6" t="s">
        <v>77</v>
      </c>
      <c r="C123" s="6" t="s">
        <v>43</v>
      </c>
      <c r="D123" s="6" t="s">
        <v>44</v>
      </c>
      <c r="E123" s="6" t="s">
        <v>45</v>
      </c>
      <c r="F123" s="6" t="s">
        <v>46</v>
      </c>
      <c r="G123" s="6" t="s">
        <v>47</v>
      </c>
    </row>
    <row r="124" spans="1:9" x14ac:dyDescent="0.25">
      <c r="A124" s="6" t="s">
        <v>85</v>
      </c>
      <c r="B124" s="43">
        <v>-87950</v>
      </c>
      <c r="C124" s="43">
        <v>4983.3999999999996</v>
      </c>
      <c r="D124" s="43">
        <v>20383.40000000002</v>
      </c>
      <c r="E124" s="43">
        <v>37323.400000000038</v>
      </c>
      <c r="F124" s="43">
        <v>55957.400000000081</v>
      </c>
      <c r="G124" s="43">
        <v>76454.800000000119</v>
      </c>
    </row>
    <row r="125" spans="1:9" x14ac:dyDescent="0.25">
      <c r="A125" s="6" t="s">
        <v>86</v>
      </c>
      <c r="B125" s="6">
        <v>25000</v>
      </c>
      <c r="C125" s="43">
        <v>-12835.085913011748</v>
      </c>
      <c r="D125" s="43">
        <v>-12797.889855353911</v>
      </c>
      <c r="E125" s="6"/>
      <c r="F125" s="6"/>
      <c r="G125" s="6"/>
    </row>
    <row r="126" spans="1:9" x14ac:dyDescent="0.25">
      <c r="A126" s="6" t="s">
        <v>87</v>
      </c>
      <c r="B126" s="43">
        <f>B124+B125</f>
        <v>-62950</v>
      </c>
      <c r="C126" s="43">
        <f t="shared" ref="C126:G126" si="38">C124+C125</f>
        <v>-7851.6859130117482</v>
      </c>
      <c r="D126" s="43">
        <f t="shared" si="38"/>
        <v>7585.5101446461085</v>
      </c>
      <c r="E126" s="43">
        <f t="shared" si="38"/>
        <v>37323.400000000038</v>
      </c>
      <c r="F126" s="43">
        <f t="shared" si="38"/>
        <v>55957.400000000081</v>
      </c>
      <c r="G126" s="43">
        <f t="shared" si="38"/>
        <v>76454.800000000119</v>
      </c>
    </row>
    <row r="129" spans="1:14" x14ac:dyDescent="0.25">
      <c r="A129" s="8" t="s">
        <v>52</v>
      </c>
      <c r="B129" s="8" t="s">
        <v>94</v>
      </c>
      <c r="C129" s="8" t="s">
        <v>43</v>
      </c>
      <c r="D129" s="8" t="s">
        <v>44</v>
      </c>
      <c r="E129" s="8" t="s">
        <v>45</v>
      </c>
      <c r="F129" s="8" t="s">
        <v>46</v>
      </c>
      <c r="G129" s="8" t="s">
        <v>47</v>
      </c>
    </row>
    <row r="130" spans="1:14" x14ac:dyDescent="0.25">
      <c r="A130" s="15" t="s">
        <v>41</v>
      </c>
      <c r="B130" s="35"/>
      <c r="C130" s="3">
        <f>B91</f>
        <v>41192</v>
      </c>
      <c r="D130" s="3">
        <f>C91</f>
        <v>63192.000000000029</v>
      </c>
      <c r="E130" s="3">
        <f>D91</f>
        <v>87392.000000000058</v>
      </c>
      <c r="F130" s="3">
        <f>E91</f>
        <v>114012.00000000012</v>
      </c>
      <c r="G130" s="3">
        <f>F91</f>
        <v>143294.00000000017</v>
      </c>
    </row>
    <row r="131" spans="1:14" x14ac:dyDescent="0.25">
      <c r="A131" s="48" t="s">
        <v>95</v>
      </c>
      <c r="B131" s="61">
        <v>87950</v>
      </c>
      <c r="C131" s="35"/>
      <c r="D131" s="35"/>
      <c r="E131" s="35"/>
      <c r="F131" s="35"/>
      <c r="G131" s="35"/>
      <c r="H131" s="67"/>
      <c r="I131" s="68"/>
      <c r="J131" s="68"/>
      <c r="K131" s="68"/>
      <c r="L131" s="68"/>
      <c r="M131" s="68"/>
      <c r="N131" s="68"/>
    </row>
    <row r="132" spans="1:14" x14ac:dyDescent="0.25">
      <c r="A132" s="62" t="s">
        <v>96</v>
      </c>
      <c r="B132" s="35">
        <v>13000</v>
      </c>
      <c r="C132" s="35"/>
      <c r="D132" s="35"/>
      <c r="E132" s="35"/>
      <c r="F132" s="35"/>
      <c r="G132" s="35"/>
      <c r="H132" s="68"/>
      <c r="I132" s="69"/>
      <c r="J132" s="70"/>
      <c r="K132" s="70"/>
      <c r="L132" s="70"/>
      <c r="M132" s="70"/>
      <c r="N132" s="70"/>
    </row>
    <row r="133" spans="1:14" x14ac:dyDescent="0.25">
      <c r="A133" s="63" t="s">
        <v>97</v>
      </c>
      <c r="B133" s="35">
        <v>74950</v>
      </c>
      <c r="C133" s="35"/>
      <c r="D133" s="35"/>
      <c r="E133" s="35"/>
      <c r="F133" s="35"/>
      <c r="G133" s="35"/>
      <c r="H133" s="68"/>
      <c r="I133" s="74" t="s">
        <v>107</v>
      </c>
      <c r="J133" s="74" t="s">
        <v>108</v>
      </c>
      <c r="K133" s="70"/>
      <c r="L133" s="68"/>
      <c r="M133" s="68"/>
      <c r="N133" s="68"/>
    </row>
    <row r="134" spans="1:14" x14ac:dyDescent="0.25">
      <c r="A134" s="7" t="s">
        <v>98</v>
      </c>
      <c r="B134" s="35"/>
      <c r="C134" s="3">
        <f>SUM(C135:C141)</f>
        <v>58830</v>
      </c>
      <c r="D134" s="3">
        <f t="shared" ref="D134:G134" si="39">SUM(D135:D141)</f>
        <v>58830</v>
      </c>
      <c r="E134" s="3">
        <f t="shared" si="39"/>
        <v>58830</v>
      </c>
      <c r="F134" s="3">
        <f t="shared" si="39"/>
        <v>58830</v>
      </c>
      <c r="G134" s="3">
        <f t="shared" si="39"/>
        <v>58830</v>
      </c>
      <c r="H134" s="68"/>
      <c r="I134" s="74"/>
      <c r="J134" s="74"/>
      <c r="K134" s="69"/>
      <c r="L134" s="69"/>
      <c r="M134" s="69"/>
      <c r="N134" s="69"/>
    </row>
    <row r="135" spans="1:14" x14ac:dyDescent="0.25">
      <c r="A135" s="59" t="s">
        <v>99</v>
      </c>
      <c r="B135" s="35"/>
      <c r="C135" s="35">
        <v>3000</v>
      </c>
      <c r="D135" s="35">
        <v>3000</v>
      </c>
      <c r="E135" s="35">
        <v>3000</v>
      </c>
      <c r="F135" s="35">
        <v>3000</v>
      </c>
      <c r="G135" s="35">
        <v>3000</v>
      </c>
      <c r="I135" s="71">
        <v>0</v>
      </c>
      <c r="J135" s="72">
        <v>-87950</v>
      </c>
      <c r="L135" t="s">
        <v>112</v>
      </c>
      <c r="M135" s="44">
        <f>J135</f>
        <v>-87950</v>
      </c>
    </row>
    <row r="136" spans="1:14" x14ac:dyDescent="0.25">
      <c r="A136" s="59" t="s">
        <v>100</v>
      </c>
      <c r="B136" s="35"/>
      <c r="C136" s="35">
        <v>3000</v>
      </c>
      <c r="D136" s="35">
        <v>3000</v>
      </c>
      <c r="E136" s="35">
        <v>3000</v>
      </c>
      <c r="F136" s="35">
        <v>3000</v>
      </c>
      <c r="G136" s="35">
        <v>3000</v>
      </c>
      <c r="I136" s="71">
        <v>1</v>
      </c>
      <c r="J136" s="35">
        <v>4983.3999999999996</v>
      </c>
      <c r="L136" t="s">
        <v>113</v>
      </c>
      <c r="M136" s="19">
        <f>NPV(15.66%,J136:J140)</f>
        <v>111878.14894935726</v>
      </c>
    </row>
    <row r="137" spans="1:14" x14ac:dyDescent="0.25">
      <c r="A137" s="59" t="s">
        <v>101</v>
      </c>
      <c r="B137" s="35"/>
      <c r="C137" s="35">
        <v>1500</v>
      </c>
      <c r="D137" s="35">
        <v>1500</v>
      </c>
      <c r="E137" s="35">
        <v>1500</v>
      </c>
      <c r="F137" s="35">
        <v>1500</v>
      </c>
      <c r="G137" s="35">
        <v>1500</v>
      </c>
      <c r="I137" s="71">
        <v>2</v>
      </c>
      <c r="J137" s="35">
        <v>20383.40000000002</v>
      </c>
    </row>
    <row r="138" spans="1:14" x14ac:dyDescent="0.25">
      <c r="A138" s="59" t="s">
        <v>102</v>
      </c>
      <c r="B138" s="35"/>
      <c r="C138" s="35">
        <v>8000</v>
      </c>
      <c r="D138" s="35">
        <v>8000</v>
      </c>
      <c r="E138" s="35">
        <v>8000</v>
      </c>
      <c r="F138" s="35">
        <v>8000</v>
      </c>
      <c r="G138" s="35">
        <v>8000</v>
      </c>
      <c r="I138" s="71">
        <v>3</v>
      </c>
      <c r="J138" s="35">
        <v>37323.400000000038</v>
      </c>
      <c r="M138" s="19">
        <f>M136/M135</f>
        <v>-1.272065366109804</v>
      </c>
    </row>
    <row r="139" spans="1:14" x14ac:dyDescent="0.25">
      <c r="A139" s="59" t="s">
        <v>33</v>
      </c>
      <c r="B139" s="35"/>
      <c r="C139" s="35">
        <v>2000</v>
      </c>
      <c r="D139" s="35">
        <v>2000</v>
      </c>
      <c r="E139" s="35">
        <v>2000</v>
      </c>
      <c r="F139" s="35">
        <v>2000</v>
      </c>
      <c r="G139" s="35">
        <v>2000</v>
      </c>
      <c r="I139" s="71">
        <v>4</v>
      </c>
      <c r="J139" s="35">
        <v>55957.400000000081</v>
      </c>
    </row>
    <row r="140" spans="1:14" x14ac:dyDescent="0.25">
      <c r="A140" s="59" t="s">
        <v>103</v>
      </c>
      <c r="B140" s="35"/>
      <c r="C140" s="35">
        <v>24000</v>
      </c>
      <c r="D140" s="35">
        <v>24000</v>
      </c>
      <c r="E140" s="35">
        <v>24000</v>
      </c>
      <c r="F140" s="35">
        <v>24000</v>
      </c>
      <c r="G140" s="35">
        <v>24000</v>
      </c>
      <c r="I140" s="71">
        <v>5</v>
      </c>
      <c r="J140" s="35">
        <v>76454.800000000119</v>
      </c>
    </row>
    <row r="141" spans="1:14" x14ac:dyDescent="0.25">
      <c r="A141" s="59" t="s">
        <v>104</v>
      </c>
      <c r="B141" s="35"/>
      <c r="C141" s="35">
        <v>17330</v>
      </c>
      <c r="D141" s="35">
        <v>17330</v>
      </c>
      <c r="E141" s="35">
        <v>17330</v>
      </c>
      <c r="F141" s="35">
        <v>17330</v>
      </c>
      <c r="G141" s="35">
        <v>17330</v>
      </c>
    </row>
    <row r="142" spans="1:14" x14ac:dyDescent="0.25">
      <c r="A142" s="59" t="s">
        <v>49</v>
      </c>
      <c r="B142" s="35"/>
      <c r="C142" s="35">
        <f>C130-C134</f>
        <v>-17638</v>
      </c>
      <c r="D142" s="35">
        <f t="shared" ref="D142:G142" si="40">D130-D134</f>
        <v>4362.0000000000291</v>
      </c>
      <c r="E142" s="35">
        <f t="shared" si="40"/>
        <v>28562.000000000058</v>
      </c>
      <c r="F142" s="35">
        <f t="shared" si="40"/>
        <v>55182.000000000116</v>
      </c>
      <c r="G142" s="35">
        <f t="shared" si="40"/>
        <v>84464.000000000175</v>
      </c>
    </row>
    <row r="143" spans="1:14" x14ac:dyDescent="0.25">
      <c r="A143" s="60" t="s">
        <v>73</v>
      </c>
      <c r="B143" s="35"/>
      <c r="C143" s="35">
        <f>0.3*C142</f>
        <v>-5291.4</v>
      </c>
      <c r="D143" s="35">
        <f t="shared" ref="D143:G143" si="41">0.3*D142</f>
        <v>1308.6000000000088</v>
      </c>
      <c r="E143" s="35">
        <f t="shared" si="41"/>
        <v>8568.6000000000167</v>
      </c>
      <c r="F143" s="35">
        <f t="shared" si="41"/>
        <v>16554.600000000035</v>
      </c>
      <c r="G143" s="35">
        <f t="shared" si="41"/>
        <v>25339.200000000052</v>
      </c>
    </row>
    <row r="144" spans="1:14" x14ac:dyDescent="0.25">
      <c r="A144" s="59" t="s">
        <v>51</v>
      </c>
      <c r="B144" s="35"/>
      <c r="C144" s="35">
        <f>C142-C143</f>
        <v>-12346.6</v>
      </c>
      <c r="D144" s="35">
        <f t="shared" ref="D144:G144" si="42">D142-D143</f>
        <v>3053.4000000000206</v>
      </c>
      <c r="E144" s="35">
        <f t="shared" si="42"/>
        <v>19993.400000000041</v>
      </c>
      <c r="F144" s="35">
        <f t="shared" si="42"/>
        <v>38627.400000000081</v>
      </c>
      <c r="G144" s="35">
        <f t="shared" si="42"/>
        <v>59124.800000000119</v>
      </c>
    </row>
    <row r="145" spans="1:9" x14ac:dyDescent="0.25">
      <c r="A145" s="59" t="s">
        <v>105</v>
      </c>
      <c r="B145" s="35"/>
      <c r="C145" s="35">
        <f>C141</f>
        <v>17330</v>
      </c>
      <c r="D145" s="35">
        <f t="shared" ref="D145:G145" si="43">D141</f>
        <v>17330</v>
      </c>
      <c r="E145" s="35">
        <f t="shared" si="43"/>
        <v>17330</v>
      </c>
      <c r="F145" s="35">
        <f t="shared" si="43"/>
        <v>17330</v>
      </c>
      <c r="G145" s="35">
        <f t="shared" si="43"/>
        <v>17330</v>
      </c>
      <c r="H145" s="45" t="s">
        <v>109</v>
      </c>
      <c r="I145" s="44">
        <f>J135+NPV(15.66%,J136:J140)</f>
        <v>23928.148949357259</v>
      </c>
    </row>
    <row r="146" spans="1:9" x14ac:dyDescent="0.25">
      <c r="A146" s="64" t="s">
        <v>106</v>
      </c>
      <c r="B146" s="65">
        <f>-B131</f>
        <v>-87950</v>
      </c>
      <c r="C146" s="66">
        <f>C144+C145</f>
        <v>4983.3999999999996</v>
      </c>
      <c r="D146" s="66">
        <f t="shared" ref="D146:G146" si="44">D144+D145</f>
        <v>20383.40000000002</v>
      </c>
      <c r="E146" s="66">
        <f t="shared" si="44"/>
        <v>37323.400000000038</v>
      </c>
      <c r="F146" s="66">
        <f t="shared" si="44"/>
        <v>55957.400000000081</v>
      </c>
      <c r="G146" s="66">
        <f t="shared" si="44"/>
        <v>76454.800000000119</v>
      </c>
      <c r="H146" s="45" t="s">
        <v>110</v>
      </c>
      <c r="I146" s="73">
        <f>IRR(J135:J140)</f>
        <v>0.23472714607742118</v>
      </c>
    </row>
    <row r="147" spans="1:9" x14ac:dyDescent="0.25">
      <c r="H147" s="45"/>
    </row>
    <row r="152" spans="1:9" x14ac:dyDescent="0.25">
      <c r="A152" t="s">
        <v>87</v>
      </c>
      <c r="B152" s="44">
        <v>-62950</v>
      </c>
      <c r="C152" s="44">
        <v>-7851.6859130117482</v>
      </c>
      <c r="D152" s="44">
        <v>7585.5101446461085</v>
      </c>
      <c r="E152" s="44">
        <v>37323.400000000038</v>
      </c>
      <c r="F152" s="44">
        <v>55957.400000000081</v>
      </c>
      <c r="G152" s="44">
        <v>76454.800000000119</v>
      </c>
    </row>
    <row r="155" spans="1:9" x14ac:dyDescent="0.25">
      <c r="D155" s="74" t="s">
        <v>107</v>
      </c>
      <c r="E155" s="75" t="s">
        <v>111</v>
      </c>
    </row>
    <row r="156" spans="1:9" x14ac:dyDescent="0.25">
      <c r="D156" s="74"/>
      <c r="E156" s="75"/>
    </row>
    <row r="157" spans="1:9" x14ac:dyDescent="0.25">
      <c r="D157" s="71">
        <v>0</v>
      </c>
      <c r="E157" s="35">
        <f>H158</f>
        <v>76727.288937084755</v>
      </c>
      <c r="G157" t="s">
        <v>112</v>
      </c>
      <c r="H157" s="44">
        <f>E157</f>
        <v>76727.288937084755</v>
      </c>
      <c r="I157" s="45">
        <v>221192</v>
      </c>
    </row>
    <row r="158" spans="1:9" x14ac:dyDescent="0.25">
      <c r="D158" s="71">
        <v>1</v>
      </c>
      <c r="E158" s="35">
        <v>-7851.6859130117482</v>
      </c>
      <c r="G158" t="s">
        <v>113</v>
      </c>
      <c r="H158" s="19">
        <f>NPV(20.48%,E158:E162)</f>
        <v>76727.288937084755</v>
      </c>
      <c r="I158" s="45">
        <v>66830</v>
      </c>
    </row>
    <row r="159" spans="1:9" x14ac:dyDescent="0.25">
      <c r="D159" s="71">
        <v>2</v>
      </c>
      <c r="E159" s="35">
        <v>7585.5101446461085</v>
      </c>
      <c r="I159">
        <f>I157-I158</f>
        <v>154362</v>
      </c>
    </row>
    <row r="160" spans="1:9" x14ac:dyDescent="0.25">
      <c r="D160" s="71">
        <v>3</v>
      </c>
      <c r="E160" s="35">
        <v>37323.400000000038</v>
      </c>
    </row>
    <row r="161" spans="4:9" x14ac:dyDescent="0.25">
      <c r="D161" s="71">
        <v>4</v>
      </c>
      <c r="E161" s="35">
        <v>55957.400000000081</v>
      </c>
      <c r="H161" s="19">
        <f>H158/H157</f>
        <v>1</v>
      </c>
      <c r="I161">
        <f>0.3*154362.13</f>
        <v>46308.639000000003</v>
      </c>
    </row>
    <row r="162" spans="4:9" x14ac:dyDescent="0.25">
      <c r="D162" s="71">
        <v>5</v>
      </c>
      <c r="E162" s="35">
        <v>76454.800000000119</v>
      </c>
    </row>
    <row r="164" spans="4:9" x14ac:dyDescent="0.25">
      <c r="G164" s="44">
        <f>E157+NPV(20.48%,E158:E162)</f>
        <v>153454.57787416951</v>
      </c>
    </row>
    <row r="165" spans="4:9" x14ac:dyDescent="0.25">
      <c r="G165" s="73" t="e">
        <f>IRR(E157:E162)</f>
        <v>#NUM!</v>
      </c>
    </row>
  </sheetData>
  <mergeCells count="29">
    <mergeCell ref="M12:Q12"/>
    <mergeCell ref="M32:M33"/>
    <mergeCell ref="N32:N33"/>
    <mergeCell ref="U32:U33"/>
    <mergeCell ref="V32:V33"/>
    <mergeCell ref="W32:W33"/>
    <mergeCell ref="S32:S33"/>
    <mergeCell ref="T32:T33"/>
    <mergeCell ref="B51:B52"/>
    <mergeCell ref="C51:C52"/>
    <mergeCell ref="D51:D52"/>
    <mergeCell ref="E51:E52"/>
    <mergeCell ref="F51:F52"/>
    <mergeCell ref="I133:I134"/>
    <mergeCell ref="J133:J134"/>
    <mergeCell ref="D155:D156"/>
    <mergeCell ref="E155:E156"/>
    <mergeCell ref="M8:Q8"/>
    <mergeCell ref="M72:Q72"/>
    <mergeCell ref="M82:Q82"/>
    <mergeCell ref="J37:J38"/>
    <mergeCell ref="K37:K38"/>
    <mergeCell ref="L37:L38"/>
    <mergeCell ref="M37:M38"/>
    <mergeCell ref="N37:N38"/>
    <mergeCell ref="G51:G52"/>
    <mergeCell ref="I32:I33"/>
    <mergeCell ref="K32:K33"/>
    <mergeCell ref="L32:L3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2017-09-05T05:45:41Z</dcterms:created>
  <dcterms:modified xsi:type="dcterms:W3CDTF">2017-11-23T03:33:54Z</dcterms:modified>
</cp:coreProperties>
</file>