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PROYECTO\SUSTITUCIÓN\"/>
    </mc:Choice>
  </mc:AlternateContent>
  <bookViews>
    <workbookView xWindow="0" yWindow="0" windowWidth="20490" windowHeight="8355"/>
  </bookViews>
  <sheets>
    <sheet name="11.39" sheetId="1" r:id="rId1"/>
    <sheet name="Hoja1" sheetId="2" r:id="rId2"/>
  </sheet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0" i="1" l="1"/>
  <c r="C133" i="1"/>
  <c r="E123" i="1"/>
  <c r="C108" i="1"/>
  <c r="C38" i="1" l="1"/>
  <c r="E92" i="1" l="1"/>
  <c r="E96" i="1" s="1"/>
  <c r="E90" i="1" l="1"/>
  <c r="E95" i="1" s="1"/>
  <c r="C84" i="1"/>
  <c r="C10" i="1" l="1"/>
  <c r="E16" i="1"/>
  <c r="H136" i="1" l="1"/>
  <c r="D24" i="1"/>
  <c r="D26" i="1" s="1"/>
  <c r="A10" i="2"/>
  <c r="A3" i="2"/>
  <c r="A5" i="2" s="1"/>
  <c r="A6" i="2" l="1"/>
  <c r="A7" i="2" s="1"/>
  <c r="D68" i="1"/>
  <c r="E19" i="1"/>
  <c r="E22" i="1" s="1"/>
  <c r="D17" i="1"/>
  <c r="D67" i="1" l="1"/>
  <c r="D44" i="1"/>
  <c r="E43" i="1" s="1"/>
  <c r="E48" i="1" s="1"/>
  <c r="E66" i="1" l="1"/>
  <c r="E44" i="1"/>
  <c r="F43" i="1" s="1"/>
  <c r="F48" i="1" s="1"/>
  <c r="C132" i="1"/>
  <c r="C107" i="1"/>
  <c r="C83" i="1"/>
  <c r="C62" i="1"/>
  <c r="C36" i="1"/>
  <c r="C9" i="1"/>
  <c r="F142" i="1" l="1"/>
  <c r="F145" i="1" s="1"/>
  <c r="G142" i="1"/>
  <c r="G145" i="1" s="1"/>
  <c r="H142" i="1"/>
  <c r="H145" i="1" s="1"/>
  <c r="I142" i="1"/>
  <c r="I145" i="1" s="1"/>
  <c r="J142" i="1"/>
  <c r="J145" i="1" s="1"/>
  <c r="K142" i="1"/>
  <c r="K145" i="1" s="1"/>
  <c r="L142" i="1"/>
  <c r="L145" i="1" s="1"/>
  <c r="M142" i="1"/>
  <c r="M145" i="1" s="1"/>
  <c r="N142" i="1"/>
  <c r="N145" i="1" s="1"/>
  <c r="E142" i="1"/>
  <c r="E145" i="1" s="1"/>
  <c r="D141" i="1"/>
  <c r="D147" i="1" s="1"/>
  <c r="N92" i="1"/>
  <c r="N96" i="1" s="1"/>
  <c r="F92" i="1"/>
  <c r="F96" i="1" s="1"/>
  <c r="G92" i="1"/>
  <c r="G96" i="1" s="1"/>
  <c r="H92" i="1"/>
  <c r="H96" i="1" s="1"/>
  <c r="I92" i="1"/>
  <c r="I96" i="1" s="1"/>
  <c r="J92" i="1"/>
  <c r="J96" i="1" s="1"/>
  <c r="K92" i="1"/>
  <c r="K96" i="1" s="1"/>
  <c r="L92" i="1"/>
  <c r="L96" i="1" s="1"/>
  <c r="M92" i="1"/>
  <c r="M96" i="1" s="1"/>
  <c r="O92" i="1"/>
  <c r="O96" i="1" s="1"/>
  <c r="P92" i="1"/>
  <c r="P96" i="1" s="1"/>
  <c r="D91" i="1"/>
  <c r="D97" i="1" s="1"/>
  <c r="D98" i="1" s="1"/>
  <c r="O90" i="1"/>
  <c r="O95" i="1" s="1"/>
  <c r="P90" i="1"/>
  <c r="P95" i="1" s="1"/>
  <c r="H90" i="1"/>
  <c r="H95" i="1" s="1"/>
  <c r="F16" i="1"/>
  <c r="G16" i="1"/>
  <c r="H16" i="1"/>
  <c r="I16" i="1"/>
  <c r="J16" i="1"/>
  <c r="K16" i="1"/>
  <c r="L16" i="1"/>
  <c r="M16" i="1"/>
  <c r="N16" i="1"/>
  <c r="E71" i="1" l="1"/>
  <c r="E67" i="1"/>
  <c r="F66" i="1" s="1"/>
  <c r="E146" i="1"/>
  <c r="E148" i="1" s="1"/>
  <c r="K90" i="1"/>
  <c r="K95" i="1" s="1"/>
  <c r="K98" i="1" s="1"/>
  <c r="G90" i="1"/>
  <c r="G95" i="1" s="1"/>
  <c r="G98" i="1" s="1"/>
  <c r="L90" i="1"/>
  <c r="L95" i="1" s="1"/>
  <c r="L98" i="1" s="1"/>
  <c r="N90" i="1"/>
  <c r="N95" i="1" s="1"/>
  <c r="N98" i="1" s="1"/>
  <c r="J90" i="1"/>
  <c r="J95" i="1" s="1"/>
  <c r="J98" i="1" s="1"/>
  <c r="F90" i="1"/>
  <c r="F95" i="1" s="1"/>
  <c r="F98" i="1" s="1"/>
  <c r="P98" i="1"/>
  <c r="H98" i="1"/>
  <c r="E98" i="1"/>
  <c r="E100" i="1" s="1"/>
  <c r="M90" i="1"/>
  <c r="M95" i="1" s="1"/>
  <c r="M98" i="1" s="1"/>
  <c r="I90" i="1"/>
  <c r="I95" i="1" s="1"/>
  <c r="I98" i="1" s="1"/>
  <c r="O98" i="1"/>
  <c r="E50" i="1" l="1"/>
  <c r="F67" i="1"/>
  <c r="G66" i="1" s="1"/>
  <c r="G71" i="1" s="1"/>
  <c r="F71" i="1"/>
  <c r="D148" i="1"/>
  <c r="E141" i="1"/>
  <c r="F140" i="1" l="1"/>
  <c r="F146" i="1" s="1"/>
  <c r="F148" i="1" s="1"/>
  <c r="D18" i="1"/>
  <c r="E23" i="1" l="1"/>
  <c r="E26" i="1" s="1"/>
  <c r="E17" i="1"/>
  <c r="F17" i="1" s="1"/>
  <c r="F141" i="1"/>
  <c r="G140" i="1" s="1"/>
  <c r="E91" i="1"/>
  <c r="F91" i="1" s="1"/>
  <c r="G91" i="1" s="1"/>
  <c r="H91" i="1" s="1"/>
  <c r="I91" i="1" s="1"/>
  <c r="J91" i="1" s="1"/>
  <c r="K91" i="1" s="1"/>
  <c r="L91" i="1" s="1"/>
  <c r="M91" i="1" s="1"/>
  <c r="N91" i="1" s="1"/>
  <c r="O91" i="1" s="1"/>
  <c r="P91" i="1" s="1"/>
  <c r="E73" i="1"/>
  <c r="F73" i="1"/>
  <c r="F23" i="1"/>
  <c r="G23" i="1"/>
  <c r="H23" i="1"/>
  <c r="I23" i="1"/>
  <c r="J23" i="1"/>
  <c r="K23" i="1"/>
  <c r="F19" i="1"/>
  <c r="F22" i="1" s="1"/>
  <c r="G19" i="1"/>
  <c r="G22" i="1" s="1"/>
  <c r="H19" i="1"/>
  <c r="H22" i="1" s="1"/>
  <c r="I19" i="1"/>
  <c r="I22" i="1" s="1"/>
  <c r="J19" i="1"/>
  <c r="J22" i="1" s="1"/>
  <c r="K19" i="1"/>
  <c r="K22" i="1" s="1"/>
  <c r="L19" i="1"/>
  <c r="L22" i="1" s="1"/>
  <c r="M19" i="1"/>
  <c r="M22" i="1" s="1"/>
  <c r="N19" i="1"/>
  <c r="N22" i="1" s="1"/>
  <c r="L23" i="1"/>
  <c r="M23" i="1"/>
  <c r="N23" i="1"/>
  <c r="D115" i="1" l="1"/>
  <c r="C110" i="1"/>
  <c r="N26" i="1"/>
  <c r="G146" i="1"/>
  <c r="G148" i="1" s="1"/>
  <c r="E114" i="1"/>
  <c r="E119" i="1" s="1"/>
  <c r="F50" i="1"/>
  <c r="G141" i="1"/>
  <c r="H140" i="1" s="1"/>
  <c r="F44" i="1"/>
  <c r="G43" i="1" s="1"/>
  <c r="H26" i="1"/>
  <c r="G17" i="1"/>
  <c r="H17" i="1" s="1"/>
  <c r="I17" i="1" s="1"/>
  <c r="J17" i="1" s="1"/>
  <c r="K17" i="1" s="1"/>
  <c r="L17" i="1" s="1"/>
  <c r="M17" i="1" s="1"/>
  <c r="N17" i="1" s="1"/>
  <c r="L26" i="1"/>
  <c r="M26" i="1"/>
  <c r="K26" i="1"/>
  <c r="J26" i="1"/>
  <c r="I26" i="1"/>
  <c r="G26" i="1"/>
  <c r="F26" i="1"/>
  <c r="E28" i="1" l="1"/>
  <c r="E121" i="1"/>
  <c r="H146" i="1"/>
  <c r="H148" i="1" s="1"/>
  <c r="E115" i="1"/>
  <c r="F114" i="1" s="1"/>
  <c r="F119" i="1" s="1"/>
  <c r="F121" i="1" s="1"/>
  <c r="H141" i="1"/>
  <c r="G73" i="1"/>
  <c r="G67" i="1"/>
  <c r="H66" i="1" s="1"/>
  <c r="H71" i="1" s="1"/>
  <c r="G44" i="1"/>
  <c r="H43" i="1" s="1"/>
  <c r="G48" i="1"/>
  <c r="H48" i="1" l="1"/>
  <c r="H50" i="1" s="1"/>
  <c r="I140" i="1"/>
  <c r="F115" i="1"/>
  <c r="G114" i="1" s="1"/>
  <c r="G119" i="1" s="1"/>
  <c r="G121" i="1" s="1"/>
  <c r="H73" i="1"/>
  <c r="G50" i="1"/>
  <c r="H44" i="1" l="1"/>
  <c r="I146" i="1"/>
  <c r="I148" i="1" s="1"/>
  <c r="I141" i="1"/>
  <c r="G115" i="1"/>
  <c r="H114" i="1" s="1"/>
  <c r="H119" i="1" s="1"/>
  <c r="H121" i="1" s="1"/>
  <c r="H67" i="1"/>
  <c r="I66" i="1" s="1"/>
  <c r="I71" i="1" s="1"/>
  <c r="I43" i="1" l="1"/>
  <c r="I48" i="1" s="1"/>
  <c r="I50" i="1" s="1"/>
  <c r="J140" i="1"/>
  <c r="H115" i="1"/>
  <c r="I73" i="1"/>
  <c r="I44" i="1" l="1"/>
  <c r="J43" i="1" s="1"/>
  <c r="J48" i="1" s="1"/>
  <c r="J146" i="1"/>
  <c r="J148" i="1" s="1"/>
  <c r="J141" i="1"/>
  <c r="I114" i="1"/>
  <c r="I119" i="1" s="1"/>
  <c r="I67" i="1"/>
  <c r="J66" i="1" s="1"/>
  <c r="J71" i="1" s="1"/>
  <c r="I121" i="1" l="1"/>
  <c r="K140" i="1"/>
  <c r="I115" i="1"/>
  <c r="J73" i="1"/>
  <c r="J44" i="1"/>
  <c r="K43" i="1" s="1"/>
  <c r="J50" i="1"/>
  <c r="K146" i="1" l="1"/>
  <c r="K148" i="1" s="1"/>
  <c r="K141" i="1"/>
  <c r="J114" i="1"/>
  <c r="J119" i="1" s="1"/>
  <c r="J121" i="1" s="1"/>
  <c r="J67" i="1"/>
  <c r="K66" i="1" s="1"/>
  <c r="K71" i="1" s="1"/>
  <c r="K48" i="1"/>
  <c r="L140" i="1" l="1"/>
  <c r="J115" i="1"/>
  <c r="K73" i="1"/>
  <c r="K44" i="1"/>
  <c r="L43" i="1" s="1"/>
  <c r="K50" i="1"/>
  <c r="L146" i="1" l="1"/>
  <c r="L148" i="1" s="1"/>
  <c r="L141" i="1"/>
  <c r="K114" i="1"/>
  <c r="K119" i="1" s="1"/>
  <c r="K121" i="1" s="1"/>
  <c r="K67" i="1"/>
  <c r="L66" i="1" s="1"/>
  <c r="L71" i="1" s="1"/>
  <c r="M140" i="1" l="1"/>
  <c r="M146" i="1" s="1"/>
  <c r="M148" i="1" s="1"/>
  <c r="K115" i="1"/>
  <c r="L73" i="1"/>
  <c r="L48" i="1"/>
  <c r="L50" i="1" s="1"/>
  <c r="L44" i="1"/>
  <c r="M43" i="1" s="1"/>
  <c r="M141" i="1" l="1"/>
  <c r="L114" i="1"/>
  <c r="L119" i="1" s="1"/>
  <c r="L121" i="1" s="1"/>
  <c r="L67" i="1"/>
  <c r="M66" i="1" s="1"/>
  <c r="M71" i="1" s="1"/>
  <c r="N140" i="1" l="1"/>
  <c r="L115" i="1"/>
  <c r="M73" i="1"/>
  <c r="M48" i="1"/>
  <c r="M50" i="1" s="1"/>
  <c r="M44" i="1"/>
  <c r="N43" i="1" s="1"/>
  <c r="N146" i="1" l="1"/>
  <c r="N148" i="1" s="1"/>
  <c r="E150" i="1" s="1"/>
  <c r="N141" i="1"/>
  <c r="M114" i="1"/>
  <c r="M119" i="1" s="1"/>
  <c r="M121" i="1" s="1"/>
  <c r="M67" i="1"/>
  <c r="N66" i="1" s="1"/>
  <c r="N71" i="1" s="1"/>
  <c r="N48" i="1"/>
  <c r="D49" i="1" s="1"/>
  <c r="D72" i="1" l="1"/>
  <c r="D73" i="1" s="1"/>
  <c r="D50" i="1"/>
  <c r="M115" i="1"/>
  <c r="N114" i="1" s="1"/>
  <c r="N119" i="1" s="1"/>
  <c r="D120" i="1" s="1"/>
  <c r="D121" i="1" s="1"/>
  <c r="N73" i="1"/>
  <c r="N50" i="1"/>
  <c r="N44" i="1"/>
  <c r="E75" i="1" l="1"/>
  <c r="E52" i="1"/>
  <c r="N121" i="1"/>
  <c r="N115" i="1"/>
  <c r="N67" i="1"/>
</calcChain>
</file>

<file path=xl/sharedStrings.xml><?xml version="1.0" encoding="utf-8"?>
<sst xmlns="http://schemas.openxmlformats.org/spreadsheetml/2006/main" count="154" uniqueCount="47">
  <si>
    <t>Inversión</t>
  </si>
  <si>
    <t>Ahorros anuales</t>
  </si>
  <si>
    <t>n</t>
  </si>
  <si>
    <t>Ti</t>
  </si>
  <si>
    <t>Depreciación</t>
  </si>
  <si>
    <t>Valor contable</t>
  </si>
  <si>
    <t xml:space="preserve">Depreciación </t>
  </si>
  <si>
    <t>Valor de mercado</t>
  </si>
  <si>
    <t>a)</t>
  </si>
  <si>
    <t>Años de Depreciación</t>
  </si>
  <si>
    <t>Datos</t>
  </si>
  <si>
    <t>Estado de Flujo de Caja</t>
  </si>
  <si>
    <t>Flujo de efectivo Neto</t>
  </si>
  <si>
    <t>b)</t>
  </si>
  <si>
    <t>c)</t>
  </si>
  <si>
    <t>d)</t>
  </si>
  <si>
    <t>e) Modelo A</t>
  </si>
  <si>
    <t>Inversión original</t>
  </si>
  <si>
    <t>+(1-0.3)*Ahorros</t>
  </si>
  <si>
    <t>+(0.3)*Depreciación</t>
  </si>
  <si>
    <t>Tasa de depreciación</t>
  </si>
  <si>
    <t xml:space="preserve">Valor contable </t>
  </si>
  <si>
    <t>Valor acumulado</t>
  </si>
  <si>
    <t>Valor de rescate</t>
  </si>
  <si>
    <t>+(0.7)*Ahorros</t>
  </si>
  <si>
    <t>Rf</t>
  </si>
  <si>
    <t>B</t>
  </si>
  <si>
    <t>Prima de riesgo</t>
  </si>
  <si>
    <t>KOC</t>
  </si>
  <si>
    <t>Depreciación para los siguientes periodos</t>
  </si>
  <si>
    <t></t>
  </si>
  <si>
    <t></t>
  </si>
  <si>
    <t></t>
  </si>
  <si>
    <t></t>
  </si>
  <si>
    <t></t>
  </si>
  <si>
    <t>Años</t>
  </si>
  <si>
    <t>Tabla N°5</t>
  </si>
  <si>
    <t>Tabla N°1</t>
  </si>
  <si>
    <t>T</t>
  </si>
  <si>
    <t>VAN(12%)</t>
  </si>
  <si>
    <t></t>
  </si>
  <si>
    <t>Tabla N°3</t>
  </si>
  <si>
    <t>Costo de desmontaje</t>
  </si>
  <si>
    <t>Tabla N°7</t>
  </si>
  <si>
    <t>Tabla N°9</t>
  </si>
  <si>
    <t>V.C. luego de dos años</t>
  </si>
  <si>
    <t>Tabla N°11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</si>
</sst>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&quot;S/.&quot;\ #,##0.00;[Red]&quot;S/.&quot;\ \-#,##0.00"/>
    <numFmt numFmtId="165" formatCode="&quot;S/.&quot;#,##0.00;[Red]\-&quot;S/.&quot;#,##0.00"/>
    <numFmt numFmtId="166" formatCode="[$$-409]#,##0.00"/>
    <numFmt numFmtId="167" formatCode="#,##0;[Red]\(#,##0\)"/>
    <numFmt numFmtId="168" formatCode="0.000000%"/>
    <numFmt numFmtId="169" formatCode="[$$-409]#,##0"/>
  </numFmts>
  <fonts count="2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i/>
      <sz val="12"/>
      <color rgb="FFFF0000"/>
      <name val="Times New Roman"/>
      <family val="1"/>
    </font>
    <font>
      <b/>
      <sz val="14"/>
      <color theme="1"/>
      <name val="Wingdings"/>
      <charset val="2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sz val="12"/>
      <color theme="1"/>
      <name val="Times New Roman"/>
      <family val="1"/>
    </font>
    <font>
      <b/>
      <i/>
      <sz val="9"/>
      <color theme="1"/>
      <name val="Calibri"/>
      <family val="2"/>
      <scheme val="minor"/>
    </font>
    <font>
      <b/>
      <sz val="12"/>
      <color theme="1"/>
      <name val="Wingdings"/>
      <charset val="2"/>
    </font>
    <font>
      <b/>
      <sz val="9"/>
      <color theme="1"/>
      <name val="Wingdings"/>
      <charset val="2"/>
    </font>
    <font>
      <sz val="10"/>
      <color theme="1"/>
      <name val="Calibri"/>
      <family val="2"/>
      <scheme val="minor"/>
    </font>
    <font>
      <sz val="12"/>
      <color rgb="FFFF0000"/>
      <name val="Times New Roman"/>
      <family val="1"/>
    </font>
    <font>
      <b/>
      <i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sz val="11"/>
      <color theme="1"/>
      <name val="Times New Roman"/>
      <family val="1"/>
    </font>
    <font>
      <sz val="10.5"/>
      <color theme="1"/>
      <name val="Calibri"/>
      <family val="2"/>
      <scheme val="minor"/>
    </font>
    <font>
      <b/>
      <i/>
      <sz val="10.5"/>
      <color rgb="FFFF0000"/>
      <name val="Times New Roman"/>
      <family val="1"/>
    </font>
    <font>
      <sz val="10.5"/>
      <color theme="1"/>
      <name val="Times New Roman"/>
      <family val="1"/>
    </font>
    <font>
      <b/>
      <sz val="10.5"/>
      <color theme="1"/>
      <name val="Wingdings"/>
      <charset val="2"/>
    </font>
    <font>
      <b/>
      <sz val="10.5"/>
      <color theme="1"/>
      <name val="Times New Roman"/>
      <family val="1"/>
    </font>
    <font>
      <b/>
      <i/>
      <sz val="10.5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0" xfId="0" applyFont="1"/>
    <xf numFmtId="0" fontId="2" fillId="3" borderId="1" xfId="0" applyFont="1" applyFill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10" fontId="2" fillId="0" borderId="1" xfId="0" applyNumberFormat="1" applyFont="1" applyBorder="1"/>
    <xf numFmtId="0" fontId="2" fillId="0" borderId="0" xfId="0" applyFont="1" applyAlignment="1">
      <alignment horizontal="center" vertical="center"/>
    </xf>
    <xf numFmtId="165" fontId="2" fillId="0" borderId="0" xfId="0" applyNumberFormat="1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vertical="center"/>
    </xf>
    <xf numFmtId="169" fontId="6" fillId="0" borderId="1" xfId="0" applyNumberFormat="1" applyFont="1" applyBorder="1" applyAlignment="1">
      <alignment horizontal="center"/>
    </xf>
    <xf numFmtId="0" fontId="2" fillId="0" borderId="0" xfId="0" applyFont="1" applyBorder="1"/>
    <xf numFmtId="166" fontId="2" fillId="0" borderId="1" xfId="0" applyNumberFormat="1" applyFont="1" applyBorder="1"/>
    <xf numFmtId="166" fontId="2" fillId="0" borderId="0" xfId="0" applyNumberFormat="1" applyFont="1"/>
    <xf numFmtId="0" fontId="6" fillId="0" borderId="1" xfId="0" applyNumberFormat="1" applyFont="1" applyBorder="1" applyAlignment="1">
      <alignment horizontal="center"/>
    </xf>
    <xf numFmtId="9" fontId="6" fillId="0" borderId="1" xfId="0" applyNumberFormat="1" applyFont="1" applyBorder="1" applyAlignment="1">
      <alignment horizontal="center"/>
    </xf>
    <xf numFmtId="9" fontId="2" fillId="0" borderId="0" xfId="0" applyNumberFormat="1" applyFont="1" applyBorder="1"/>
    <xf numFmtId="3" fontId="6" fillId="0" borderId="0" xfId="0" applyNumberFormat="1" applyFont="1"/>
    <xf numFmtId="10" fontId="2" fillId="0" borderId="0" xfId="0" applyNumberFormat="1" applyFont="1" applyBorder="1"/>
    <xf numFmtId="168" fontId="2" fillId="0" borderId="0" xfId="0" applyNumberFormat="1" applyFont="1"/>
    <xf numFmtId="3" fontId="2" fillId="0" borderId="0" xfId="0" applyNumberFormat="1" applyFont="1"/>
    <xf numFmtId="2" fontId="2" fillId="0" borderId="0" xfId="0" applyNumberFormat="1" applyFont="1" applyBorder="1"/>
    <xf numFmtId="1" fontId="6" fillId="0" borderId="1" xfId="0" applyNumberFormat="1" applyFont="1" applyBorder="1" applyAlignment="1">
      <alignment horizontal="center"/>
    </xf>
    <xf numFmtId="0" fontId="4" fillId="0" borderId="0" xfId="0" applyFont="1" applyFill="1" applyBorder="1"/>
    <xf numFmtId="0" fontId="7" fillId="0" borderId="0" xfId="0" applyFont="1" applyAlignment="1">
      <alignment horizontal="center" vertical="center"/>
    </xf>
    <xf numFmtId="0" fontId="8" fillId="0" borderId="0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5" fillId="0" borderId="0" xfId="0" applyFont="1" applyAlignment="1">
      <alignment horizontal="right"/>
    </xf>
    <xf numFmtId="0" fontId="6" fillId="0" borderId="0" xfId="0" applyFont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/>
    </xf>
    <xf numFmtId="0" fontId="5" fillId="0" borderId="0" xfId="0" quotePrefix="1" applyFont="1" applyAlignment="1">
      <alignment horizontal="right"/>
    </xf>
    <xf numFmtId="166" fontId="6" fillId="0" borderId="0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7" fontId="6" fillId="0" borderId="2" xfId="0" applyNumberFormat="1" applyFont="1" applyBorder="1" applyAlignment="1">
      <alignment horizontal="center" vertical="center"/>
    </xf>
    <xf numFmtId="166" fontId="6" fillId="0" borderId="2" xfId="0" applyNumberFormat="1" applyFont="1" applyBorder="1" applyAlignment="1">
      <alignment horizontal="center" vertical="center"/>
    </xf>
    <xf numFmtId="0" fontId="8" fillId="0" borderId="0" xfId="0" applyFont="1" applyAlignment="1">
      <alignment horizontal="right"/>
    </xf>
    <xf numFmtId="167" fontId="6" fillId="0" borderId="0" xfId="0" applyNumberFormat="1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69" fontId="12" fillId="0" borderId="0" xfId="0" applyNumberFormat="1" applyFont="1" applyBorder="1" applyAlignment="1">
      <alignment horizontal="center" vertical="center"/>
    </xf>
    <xf numFmtId="165" fontId="11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right" vertical="center"/>
    </xf>
    <xf numFmtId="164" fontId="2" fillId="0" borderId="0" xfId="0" applyNumberFormat="1" applyFont="1"/>
    <xf numFmtId="9" fontId="6" fillId="0" borderId="1" xfId="0" applyNumberFormat="1" applyFont="1" applyBorder="1" applyAlignment="1">
      <alignment horizontal="center" vertical="center"/>
    </xf>
    <xf numFmtId="169" fontId="6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6" fillId="0" borderId="0" xfId="0" applyFont="1"/>
    <xf numFmtId="0" fontId="2" fillId="0" borderId="2" xfId="0" applyFont="1" applyBorder="1"/>
    <xf numFmtId="166" fontId="2" fillId="0" borderId="2" xfId="0" applyNumberFormat="1" applyFont="1" applyBorder="1"/>
    <xf numFmtId="0" fontId="9" fillId="0" borderId="0" xfId="0" applyFont="1" applyAlignment="1">
      <alignment horizontal="right" vertical="center"/>
    </xf>
    <xf numFmtId="169" fontId="17" fillId="0" borderId="0" xfId="0" applyNumberFormat="1" applyFont="1" applyBorder="1" applyAlignment="1">
      <alignment horizontal="center" vertical="center"/>
    </xf>
    <xf numFmtId="0" fontId="18" fillId="0" borderId="0" xfId="0" applyFont="1"/>
    <xf numFmtId="0" fontId="19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0" fillId="0" borderId="0" xfId="0" applyFont="1" applyAlignment="1">
      <alignment horizontal="right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8" fillId="0" borderId="0" xfId="0" applyFont="1" applyBorder="1"/>
    <xf numFmtId="167" fontId="6" fillId="0" borderId="0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1" fillId="0" borderId="0" xfId="0" applyFont="1"/>
    <xf numFmtId="0" fontId="22" fillId="0" borderId="0" xfId="0" applyFont="1" applyFill="1" applyBorder="1" applyAlignment="1">
      <alignment horizontal="center"/>
    </xf>
    <xf numFmtId="0" fontId="23" fillId="2" borderId="3" xfId="0" applyFont="1" applyFill="1" applyBorder="1" applyAlignment="1">
      <alignment horizontal="center"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horizontal="right"/>
    </xf>
    <xf numFmtId="169" fontId="23" fillId="0" borderId="0" xfId="0" applyNumberFormat="1" applyFont="1" applyBorder="1" applyAlignment="1">
      <alignment horizontal="center" vertical="center"/>
    </xf>
    <xf numFmtId="166" fontId="21" fillId="0" borderId="0" xfId="0" applyNumberFormat="1" applyFont="1" applyAlignment="1">
      <alignment horizontal="center" vertical="center"/>
    </xf>
    <xf numFmtId="0" fontId="21" fillId="0" borderId="2" xfId="0" applyFont="1" applyBorder="1"/>
    <xf numFmtId="167" fontId="23" fillId="0" borderId="2" xfId="0" applyNumberFormat="1" applyFont="1" applyBorder="1" applyAlignment="1">
      <alignment horizontal="center" vertical="center"/>
    </xf>
    <xf numFmtId="166" fontId="21" fillId="0" borderId="2" xfId="0" applyNumberFormat="1" applyFont="1" applyBorder="1"/>
    <xf numFmtId="167" fontId="23" fillId="0" borderId="0" xfId="0" applyNumberFormat="1" applyFont="1" applyAlignment="1">
      <alignment horizontal="center" vertical="center"/>
    </xf>
    <xf numFmtId="0" fontId="24" fillId="0" borderId="0" xfId="0" applyFont="1" applyAlignment="1">
      <alignment horizontal="right" vertical="center"/>
    </xf>
    <xf numFmtId="165" fontId="26" fillId="0" borderId="0" xfId="0" applyNumberFormat="1" applyFont="1"/>
    <xf numFmtId="165" fontId="21" fillId="0" borderId="0" xfId="0" applyNumberFormat="1" applyFont="1"/>
    <xf numFmtId="0" fontId="26" fillId="0" borderId="0" xfId="0" applyFont="1"/>
  </cellXfs>
  <cellStyles count="1">
    <cellStyle name="Normal" xfId="0" builtinId="0"/>
  </cellStyles>
  <dxfs count="1"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0"/>
  <sheetViews>
    <sheetView tabSelected="1" topLeftCell="A125" zoomScaleNormal="100" workbookViewId="0">
      <selection activeCell="C133" sqref="C133"/>
    </sheetView>
  </sheetViews>
  <sheetFormatPr baseColWidth="10" defaultRowHeight="15" x14ac:dyDescent="0.25"/>
  <cols>
    <col min="1" max="1" width="3.85546875" style="1" customWidth="1"/>
    <col min="2" max="2" width="22.42578125" style="1" customWidth="1"/>
    <col min="3" max="3" width="11.28515625" style="1" bestFit="1" customWidth="1"/>
    <col min="4" max="4" width="11.28515625" style="1" customWidth="1"/>
    <col min="5" max="5" width="11" style="1" customWidth="1"/>
    <col min="6" max="6" width="11.5703125" style="1" customWidth="1"/>
    <col min="7" max="7" width="11" style="1" customWidth="1"/>
    <col min="8" max="8" width="11.7109375" style="1" customWidth="1"/>
    <col min="9" max="9" width="9.85546875" style="1" customWidth="1"/>
    <col min="10" max="11" width="10" style="1" customWidth="1"/>
    <col min="12" max="12" width="9.7109375" style="1" customWidth="1"/>
    <col min="13" max="13" width="9.5703125" style="1" customWidth="1"/>
    <col min="14" max="14" width="9.85546875" style="1" customWidth="1"/>
    <col min="15" max="16" width="8.5703125" style="1" customWidth="1"/>
    <col min="17" max="16384" width="11.42578125" style="1"/>
  </cols>
  <sheetData>
    <row r="1" spans="1:14" x14ac:dyDescent="0.25">
      <c r="D1" s="2" t="s">
        <v>25</v>
      </c>
      <c r="E1" s="2" t="s">
        <v>26</v>
      </c>
      <c r="F1" s="2" t="s">
        <v>27</v>
      </c>
    </row>
    <row r="2" spans="1:14" x14ac:dyDescent="0.25">
      <c r="D2" s="3">
        <v>2.2599999999999999E-2</v>
      </c>
      <c r="E2" s="4">
        <v>1.62</v>
      </c>
      <c r="F2" s="5">
        <v>6.2399999999999997E-2</v>
      </c>
    </row>
    <row r="3" spans="1:14" x14ac:dyDescent="0.25">
      <c r="E3" s="6"/>
      <c r="K3" s="7"/>
    </row>
    <row r="4" spans="1:14" ht="15.75" x14ac:dyDescent="0.25">
      <c r="B4" s="8" t="s">
        <v>37</v>
      </c>
      <c r="C4" s="8"/>
      <c r="D4" s="9"/>
      <c r="K4" s="7"/>
    </row>
    <row r="5" spans="1:14" ht="15.75" x14ac:dyDescent="0.25">
      <c r="B5" s="10" t="s">
        <v>0</v>
      </c>
      <c r="C5" s="11">
        <v>934500</v>
      </c>
      <c r="D5" s="12"/>
      <c r="F5" s="13"/>
      <c r="K5" s="7"/>
      <c r="L5" s="7"/>
    </row>
    <row r="6" spans="1:14" ht="15.75" x14ac:dyDescent="0.25">
      <c r="B6" s="10" t="s">
        <v>1</v>
      </c>
      <c r="C6" s="11">
        <v>286900</v>
      </c>
      <c r="D6" s="12"/>
      <c r="E6" s="14"/>
      <c r="F6" s="14"/>
      <c r="N6" s="7"/>
    </row>
    <row r="7" spans="1:14" ht="15.75" x14ac:dyDescent="0.25">
      <c r="B7" s="10" t="s">
        <v>2</v>
      </c>
      <c r="C7" s="15">
        <v>10</v>
      </c>
      <c r="D7" s="12"/>
    </row>
    <row r="8" spans="1:14" ht="15.75" x14ac:dyDescent="0.25">
      <c r="B8" s="10" t="s">
        <v>38</v>
      </c>
      <c r="C8" s="16">
        <v>0.3</v>
      </c>
      <c r="D8" s="17"/>
      <c r="F8" s="18"/>
    </row>
    <row r="9" spans="1:14" ht="15.75" x14ac:dyDescent="0.25">
      <c r="B9" s="10" t="s">
        <v>28</v>
      </c>
      <c r="C9" s="16">
        <f>$D$2+$E$2*$F$2</f>
        <v>0.12368799999999999</v>
      </c>
      <c r="D9" s="19"/>
      <c r="E9" s="20"/>
      <c r="G9" s="21"/>
      <c r="K9" s="7"/>
      <c r="N9" s="7"/>
    </row>
    <row r="10" spans="1:14" ht="15.75" x14ac:dyDescent="0.25">
      <c r="B10" s="10" t="s">
        <v>4</v>
      </c>
      <c r="C10" s="11">
        <f>$C$5/$C$11</f>
        <v>93450</v>
      </c>
      <c r="D10" s="22"/>
      <c r="G10" s="21"/>
    </row>
    <row r="11" spans="1:14" ht="15.75" x14ac:dyDescent="0.25">
      <c r="B11" s="10" t="s">
        <v>9</v>
      </c>
      <c r="C11" s="23">
        <v>10</v>
      </c>
      <c r="D11" s="22"/>
    </row>
    <row r="12" spans="1:14" ht="15.75" x14ac:dyDescent="0.25">
      <c r="B12" s="10" t="s">
        <v>42</v>
      </c>
      <c r="C12" s="11">
        <v>35000</v>
      </c>
    </row>
    <row r="13" spans="1:14" x14ac:dyDescent="0.25">
      <c r="B13" s="24" t="s">
        <v>8</v>
      </c>
    </row>
    <row r="15" spans="1:14" ht="15.75" x14ac:dyDescent="0.25">
      <c r="A15" s="25"/>
      <c r="B15" s="26" t="s">
        <v>10</v>
      </c>
      <c r="C15" s="27" t="s">
        <v>2</v>
      </c>
      <c r="D15" s="27">
        <v>0</v>
      </c>
      <c r="E15" s="27">
        <v>1</v>
      </c>
      <c r="F15" s="27">
        <v>2</v>
      </c>
      <c r="G15" s="27">
        <v>3</v>
      </c>
      <c r="H15" s="27">
        <v>4</v>
      </c>
      <c r="I15" s="27">
        <v>5</v>
      </c>
      <c r="J15" s="27">
        <v>6</v>
      </c>
      <c r="K15" s="27">
        <v>7</v>
      </c>
      <c r="L15" s="27">
        <v>8</v>
      </c>
      <c r="M15" s="27">
        <v>9</v>
      </c>
      <c r="N15" s="27">
        <v>10</v>
      </c>
    </row>
    <row r="16" spans="1:14" ht="18" x14ac:dyDescent="0.25">
      <c r="A16" s="28" t="s">
        <v>30</v>
      </c>
      <c r="B16" s="29" t="s">
        <v>6</v>
      </c>
      <c r="C16" s="30"/>
      <c r="D16" s="31"/>
      <c r="E16" s="31">
        <f>IF(E15&lt;=$C$11,$C$5/$C$11,0)</f>
        <v>93450</v>
      </c>
      <c r="F16" s="31">
        <f t="shared" ref="F16:N16" si="0">IF(F15&lt;=$C$11,$C$5/$C$11,0)</f>
        <v>93450</v>
      </c>
      <c r="G16" s="31">
        <f t="shared" si="0"/>
        <v>93450</v>
      </c>
      <c r="H16" s="31">
        <f t="shared" si="0"/>
        <v>93450</v>
      </c>
      <c r="I16" s="31">
        <f t="shared" si="0"/>
        <v>93450</v>
      </c>
      <c r="J16" s="31">
        <f t="shared" si="0"/>
        <v>93450</v>
      </c>
      <c r="K16" s="31">
        <f t="shared" si="0"/>
        <v>93450</v>
      </c>
      <c r="L16" s="31">
        <f t="shared" si="0"/>
        <v>93450</v>
      </c>
      <c r="M16" s="31">
        <f t="shared" si="0"/>
        <v>93450</v>
      </c>
      <c r="N16" s="31">
        <f t="shared" si="0"/>
        <v>93450</v>
      </c>
    </row>
    <row r="17" spans="1:14" ht="16.5" customHeight="1" x14ac:dyDescent="0.25">
      <c r="A17" s="28" t="s">
        <v>31</v>
      </c>
      <c r="B17" s="29" t="s">
        <v>5</v>
      </c>
      <c r="C17" s="30"/>
      <c r="D17" s="31">
        <f>$C$5</f>
        <v>934500</v>
      </c>
      <c r="E17" s="31">
        <f>D17-E16</f>
        <v>841050</v>
      </c>
      <c r="F17" s="31">
        <f>E17-F16</f>
        <v>747600</v>
      </c>
      <c r="G17" s="31">
        <f t="shared" ref="G17:M17" si="1">F17-G16</f>
        <v>654150</v>
      </c>
      <c r="H17" s="31">
        <f t="shared" si="1"/>
        <v>560700</v>
      </c>
      <c r="I17" s="31">
        <f t="shared" si="1"/>
        <v>467250</v>
      </c>
      <c r="J17" s="31">
        <f t="shared" si="1"/>
        <v>373800</v>
      </c>
      <c r="K17" s="31">
        <f t="shared" si="1"/>
        <v>280350</v>
      </c>
      <c r="L17" s="31">
        <f t="shared" si="1"/>
        <v>186900</v>
      </c>
      <c r="M17" s="31">
        <f t="shared" si="1"/>
        <v>93450</v>
      </c>
      <c r="N17" s="31">
        <f>M17-N16</f>
        <v>0</v>
      </c>
    </row>
    <row r="18" spans="1:14" ht="16.5" customHeight="1" x14ac:dyDescent="0.25">
      <c r="A18" s="32"/>
      <c r="B18" s="29" t="s">
        <v>7</v>
      </c>
      <c r="C18" s="30"/>
      <c r="D18" s="31">
        <f>$C$5</f>
        <v>934500</v>
      </c>
      <c r="E18" s="31"/>
      <c r="F18" s="31"/>
      <c r="G18" s="31"/>
      <c r="H18" s="31"/>
      <c r="I18" s="31"/>
      <c r="J18" s="31"/>
      <c r="K18" s="31"/>
      <c r="L18" s="31"/>
      <c r="M18" s="31"/>
      <c r="N18" s="31"/>
    </row>
    <row r="19" spans="1:14" ht="18.75" x14ac:dyDescent="0.25">
      <c r="A19" s="32"/>
      <c r="B19" s="29" t="s">
        <v>1</v>
      </c>
      <c r="C19" s="30"/>
      <c r="D19" s="31"/>
      <c r="E19" s="31">
        <f>$C$6</f>
        <v>286900</v>
      </c>
      <c r="F19" s="31">
        <f t="shared" ref="F19:N19" si="2">$C$6</f>
        <v>286900</v>
      </c>
      <c r="G19" s="31">
        <f t="shared" si="2"/>
        <v>286900</v>
      </c>
      <c r="H19" s="31">
        <f t="shared" si="2"/>
        <v>286900</v>
      </c>
      <c r="I19" s="31">
        <f t="shared" si="2"/>
        <v>286900</v>
      </c>
      <c r="J19" s="31">
        <f t="shared" si="2"/>
        <v>286900</v>
      </c>
      <c r="K19" s="31">
        <f t="shared" si="2"/>
        <v>286900</v>
      </c>
      <c r="L19" s="31">
        <f t="shared" si="2"/>
        <v>286900</v>
      </c>
      <c r="M19" s="31">
        <f t="shared" si="2"/>
        <v>286900</v>
      </c>
      <c r="N19" s="31">
        <f t="shared" si="2"/>
        <v>286900</v>
      </c>
    </row>
    <row r="20" spans="1:14" ht="18.75" x14ac:dyDescent="0.25">
      <c r="A20" s="32"/>
      <c r="B20" s="33"/>
      <c r="C20" s="34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</row>
    <row r="21" spans="1:14" ht="18.75" x14ac:dyDescent="0.25">
      <c r="A21" s="32"/>
      <c r="B21" s="35" t="s">
        <v>11</v>
      </c>
      <c r="C21" s="34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</row>
    <row r="22" spans="1:14" ht="16.5" customHeight="1" x14ac:dyDescent="0.25">
      <c r="A22" s="28" t="s">
        <v>32</v>
      </c>
      <c r="B22" s="36" t="s">
        <v>18</v>
      </c>
      <c r="C22" s="34"/>
      <c r="D22" s="37"/>
      <c r="E22" s="31">
        <f>(1-$C$8)*E19</f>
        <v>200830</v>
      </c>
      <c r="F22" s="31">
        <f t="shared" ref="F22:N22" si="3">(1-$C$8)*F19</f>
        <v>200830</v>
      </c>
      <c r="G22" s="31">
        <f t="shared" si="3"/>
        <v>200830</v>
      </c>
      <c r="H22" s="31">
        <f t="shared" si="3"/>
        <v>200830</v>
      </c>
      <c r="I22" s="31">
        <f t="shared" si="3"/>
        <v>200830</v>
      </c>
      <c r="J22" s="31">
        <f t="shared" si="3"/>
        <v>200830</v>
      </c>
      <c r="K22" s="31">
        <f t="shared" si="3"/>
        <v>200830</v>
      </c>
      <c r="L22" s="31">
        <f t="shared" si="3"/>
        <v>200830</v>
      </c>
      <c r="M22" s="31">
        <f t="shared" si="3"/>
        <v>200830</v>
      </c>
      <c r="N22" s="31">
        <f t="shared" si="3"/>
        <v>200830</v>
      </c>
    </row>
    <row r="23" spans="1:14" ht="17.25" customHeight="1" x14ac:dyDescent="0.25">
      <c r="A23" s="28" t="s">
        <v>33</v>
      </c>
      <c r="B23" s="36" t="s">
        <v>19</v>
      </c>
      <c r="C23" s="34"/>
      <c r="D23" s="30"/>
      <c r="E23" s="31">
        <f>$C$8*E16</f>
        <v>28035</v>
      </c>
      <c r="F23" s="31">
        <f t="shared" ref="F23:N23" si="4">$C$8*F16</f>
        <v>28035</v>
      </c>
      <c r="G23" s="31">
        <f t="shared" si="4"/>
        <v>28035</v>
      </c>
      <c r="H23" s="31">
        <f t="shared" si="4"/>
        <v>28035</v>
      </c>
      <c r="I23" s="31">
        <f t="shared" si="4"/>
        <v>28035</v>
      </c>
      <c r="J23" s="31">
        <f t="shared" si="4"/>
        <v>28035</v>
      </c>
      <c r="K23" s="31">
        <f t="shared" si="4"/>
        <v>28035</v>
      </c>
      <c r="L23" s="31">
        <f t="shared" si="4"/>
        <v>28035</v>
      </c>
      <c r="M23" s="31">
        <f t="shared" si="4"/>
        <v>28035</v>
      </c>
      <c r="N23" s="31">
        <f t="shared" si="4"/>
        <v>28035</v>
      </c>
    </row>
    <row r="24" spans="1:14" ht="17.25" customHeight="1" x14ac:dyDescent="0.25">
      <c r="A24" s="28"/>
      <c r="B24" s="36" t="s">
        <v>0</v>
      </c>
      <c r="C24" s="30"/>
      <c r="D24" s="68">
        <f>-$C$5</f>
        <v>-934500</v>
      </c>
      <c r="E24" s="31"/>
      <c r="F24" s="31"/>
      <c r="G24" s="31"/>
      <c r="H24" s="31"/>
      <c r="I24" s="31"/>
      <c r="J24" s="31"/>
      <c r="K24" s="31"/>
      <c r="L24" s="31"/>
      <c r="M24" s="31"/>
      <c r="N24" s="31"/>
    </row>
    <row r="25" spans="1:14" ht="19.5" thickBot="1" x14ac:dyDescent="0.3">
      <c r="A25" s="32"/>
      <c r="B25" s="36" t="s">
        <v>42</v>
      </c>
      <c r="C25" s="38"/>
      <c r="D25" s="39">
        <v>-35000</v>
      </c>
      <c r="E25" s="40"/>
      <c r="F25" s="40"/>
      <c r="G25" s="40"/>
      <c r="H25" s="40"/>
      <c r="I25" s="40"/>
      <c r="J25" s="40"/>
      <c r="K25" s="40"/>
      <c r="L25" s="40"/>
      <c r="M25" s="40"/>
      <c r="N25" s="40"/>
    </row>
    <row r="26" spans="1:14" ht="18.75" thickTop="1" x14ac:dyDescent="0.25">
      <c r="A26" s="28" t="s">
        <v>34</v>
      </c>
      <c r="B26" s="41" t="s">
        <v>12</v>
      </c>
      <c r="C26" s="69"/>
      <c r="D26" s="68">
        <f>SUM(D24:D25)</f>
        <v>-969500</v>
      </c>
      <c r="E26" s="43">
        <f>SUM(E22:E23)</f>
        <v>228865</v>
      </c>
      <c r="F26" s="43">
        <f>SUM(F22:F23)</f>
        <v>228865</v>
      </c>
      <c r="G26" s="43">
        <f>SUM(G22:G23)</f>
        <v>228865</v>
      </c>
      <c r="H26" s="43">
        <f>SUM(H22:H23)</f>
        <v>228865</v>
      </c>
      <c r="I26" s="43">
        <f>SUM(I22:I23)</f>
        <v>228865</v>
      </c>
      <c r="J26" s="43">
        <f>SUM(J22:J23)</f>
        <v>228865</v>
      </c>
      <c r="K26" s="43">
        <f>SUM(K22:K23)</f>
        <v>228865</v>
      </c>
      <c r="L26" s="43">
        <f>SUM(L22:L23)</f>
        <v>228865</v>
      </c>
      <c r="M26" s="43">
        <f>SUM(M22:M23)</f>
        <v>228865</v>
      </c>
      <c r="N26" s="43">
        <f>SUM(N22:N23)+N25</f>
        <v>228865</v>
      </c>
    </row>
    <row r="27" spans="1:14" ht="15.75" x14ac:dyDescent="0.25">
      <c r="A27" s="25"/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</row>
    <row r="28" spans="1:14" ht="18" x14ac:dyDescent="0.25">
      <c r="A28" s="25"/>
      <c r="B28" s="44"/>
      <c r="C28" s="28" t="s">
        <v>40</v>
      </c>
      <c r="D28" s="45" t="s">
        <v>39</v>
      </c>
      <c r="E28" s="31">
        <f>NPV(12%,E26:N26)+D26</f>
        <v>323638.29339725198</v>
      </c>
      <c r="F28" s="46"/>
      <c r="G28" s="47"/>
      <c r="H28" s="46"/>
      <c r="I28" s="44"/>
      <c r="J28" s="44"/>
      <c r="K28" s="44"/>
      <c r="L28" s="44"/>
      <c r="M28" s="44"/>
      <c r="N28" s="44"/>
    </row>
    <row r="29" spans="1:14" x14ac:dyDescent="0.25">
      <c r="C29" s="48"/>
      <c r="E29" s="49"/>
      <c r="H29" s="49"/>
    </row>
    <row r="31" spans="1:14" ht="15.75" x14ac:dyDescent="0.25">
      <c r="B31" s="8" t="s">
        <v>41</v>
      </c>
      <c r="C31" s="8"/>
    </row>
    <row r="32" spans="1:14" ht="15.75" x14ac:dyDescent="0.25">
      <c r="B32" s="10" t="s">
        <v>20</v>
      </c>
      <c r="C32" s="50">
        <v>0.1</v>
      </c>
    </row>
    <row r="33" spans="1:14" ht="15.75" x14ac:dyDescent="0.25">
      <c r="B33" s="10" t="s">
        <v>21</v>
      </c>
      <c r="C33" s="51">
        <v>645942</v>
      </c>
    </row>
    <row r="34" spans="1:14" ht="15.75" x14ac:dyDescent="0.25">
      <c r="B34" s="10" t="s">
        <v>22</v>
      </c>
      <c r="C34" s="51">
        <v>174058</v>
      </c>
    </row>
    <row r="35" spans="1:14" ht="15.75" x14ac:dyDescent="0.25">
      <c r="B35" s="10" t="s">
        <v>38</v>
      </c>
      <c r="C35" s="50">
        <v>0.3</v>
      </c>
    </row>
    <row r="36" spans="1:14" ht="15.75" x14ac:dyDescent="0.25">
      <c r="B36" s="10" t="s">
        <v>28</v>
      </c>
      <c r="C36" s="50">
        <f>$D$2+$E$2*$F$2</f>
        <v>0.12368799999999999</v>
      </c>
    </row>
    <row r="37" spans="1:14" ht="15.75" x14ac:dyDescent="0.25">
      <c r="B37" s="10" t="s">
        <v>35</v>
      </c>
      <c r="C37" s="52">
        <v>6</v>
      </c>
    </row>
    <row r="38" spans="1:14" ht="15.75" x14ac:dyDescent="0.25">
      <c r="A38" s="53"/>
      <c r="B38" s="10" t="s">
        <v>29</v>
      </c>
      <c r="C38" s="51">
        <f>C33/C37</f>
        <v>107657</v>
      </c>
    </row>
    <row r="39" spans="1:14" x14ac:dyDescent="0.25">
      <c r="B39" s="24" t="s">
        <v>13</v>
      </c>
    </row>
    <row r="40" spans="1:14" x14ac:dyDescent="0.25">
      <c r="B40" s="24"/>
    </row>
    <row r="42" spans="1:14" ht="15.75" x14ac:dyDescent="0.25">
      <c r="B42" s="26" t="s">
        <v>10</v>
      </c>
      <c r="C42" s="54" t="s">
        <v>2</v>
      </c>
      <c r="D42" s="54">
        <v>0</v>
      </c>
      <c r="E42" s="54">
        <v>1</v>
      </c>
      <c r="F42" s="54">
        <v>2</v>
      </c>
      <c r="G42" s="54">
        <v>3</v>
      </c>
      <c r="H42" s="54">
        <v>4</v>
      </c>
      <c r="I42" s="54">
        <v>5</v>
      </c>
      <c r="J42" s="54">
        <v>6</v>
      </c>
      <c r="K42" s="54">
        <v>7</v>
      </c>
      <c r="L42" s="54">
        <v>8</v>
      </c>
      <c r="M42" s="54">
        <v>9</v>
      </c>
      <c r="N42" s="54">
        <v>10</v>
      </c>
    </row>
    <row r="43" spans="1:14" ht="18" x14ac:dyDescent="0.25">
      <c r="A43" s="55" t="s">
        <v>30</v>
      </c>
      <c r="B43" s="29" t="s">
        <v>6</v>
      </c>
      <c r="C43" s="31"/>
      <c r="D43" s="31"/>
      <c r="E43" s="31">
        <f>IF(D44&gt;0,$C$38,0)</f>
        <v>107657</v>
      </c>
      <c r="F43" s="31">
        <f t="shared" ref="F43:N43" si="5">IF(E44&gt;0,$C$38,0)</f>
        <v>107657</v>
      </c>
      <c r="G43" s="31">
        <f t="shared" si="5"/>
        <v>107657</v>
      </c>
      <c r="H43" s="31">
        <f t="shared" si="5"/>
        <v>107657</v>
      </c>
      <c r="I43" s="31">
        <f t="shared" si="5"/>
        <v>107657</v>
      </c>
      <c r="J43" s="31">
        <f t="shared" si="5"/>
        <v>107657</v>
      </c>
      <c r="K43" s="31">
        <f t="shared" si="5"/>
        <v>0</v>
      </c>
      <c r="L43" s="31">
        <f t="shared" si="5"/>
        <v>0</v>
      </c>
      <c r="M43" s="31">
        <f t="shared" si="5"/>
        <v>0</v>
      </c>
      <c r="N43" s="31">
        <f t="shared" si="5"/>
        <v>0</v>
      </c>
    </row>
    <row r="44" spans="1:14" ht="18" x14ac:dyDescent="0.25">
      <c r="A44" s="28" t="s">
        <v>31</v>
      </c>
      <c r="B44" s="29" t="s">
        <v>5</v>
      </c>
      <c r="C44" s="31"/>
      <c r="D44" s="31">
        <f>$C$33</f>
        <v>645942</v>
      </c>
      <c r="E44" s="31">
        <f>D44-E43</f>
        <v>538285</v>
      </c>
      <c r="F44" s="31">
        <f t="shared" ref="F44:J44" si="6">E44-F43</f>
        <v>430628</v>
      </c>
      <c r="G44" s="31">
        <f t="shared" si="6"/>
        <v>322971</v>
      </c>
      <c r="H44" s="31">
        <f t="shared" si="6"/>
        <v>215314</v>
      </c>
      <c r="I44" s="31">
        <f t="shared" si="6"/>
        <v>107657</v>
      </c>
      <c r="J44" s="31">
        <f t="shared" si="6"/>
        <v>0</v>
      </c>
      <c r="K44" s="31">
        <f>J44-K43</f>
        <v>0</v>
      </c>
      <c r="L44" s="31">
        <f t="shared" ref="L44" si="7">K44-L43</f>
        <v>0</v>
      </c>
      <c r="M44" s="31">
        <f t="shared" ref="M44" si="8">L44-M43</f>
        <v>0</v>
      </c>
      <c r="N44" s="31">
        <f t="shared" ref="N44" si="9">M44-N43</f>
        <v>0</v>
      </c>
    </row>
    <row r="45" spans="1:14" ht="15.75" x14ac:dyDescent="0.25">
      <c r="A45" s="6"/>
      <c r="B45" s="29" t="s">
        <v>7</v>
      </c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</row>
    <row r="46" spans="1:14" ht="15.75" x14ac:dyDescent="0.25">
      <c r="A46" s="6"/>
      <c r="B46" s="56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</row>
    <row r="47" spans="1:14" ht="15.75" x14ac:dyDescent="0.25">
      <c r="A47" s="6"/>
      <c r="B47" s="26" t="s">
        <v>11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</row>
    <row r="48" spans="1:14" ht="18" x14ac:dyDescent="0.25">
      <c r="A48" s="55" t="s">
        <v>32</v>
      </c>
      <c r="B48" s="29" t="s">
        <v>19</v>
      </c>
      <c r="C48" s="31"/>
      <c r="D48" s="31"/>
      <c r="E48" s="37">
        <f>$C$35*E43</f>
        <v>32297.1</v>
      </c>
      <c r="F48" s="31">
        <f>$C$35*F43</f>
        <v>32297.1</v>
      </c>
      <c r="G48" s="31">
        <f t="shared" ref="G48:N48" si="10">$C$35*G43</f>
        <v>32297.1</v>
      </c>
      <c r="H48" s="31">
        <f t="shared" si="10"/>
        <v>32297.1</v>
      </c>
      <c r="I48" s="31">
        <f t="shared" si="10"/>
        <v>32297.1</v>
      </c>
      <c r="J48" s="31">
        <f t="shared" si="10"/>
        <v>32297.1</v>
      </c>
      <c r="K48" s="31">
        <f t="shared" si="10"/>
        <v>0</v>
      </c>
      <c r="L48" s="31">
        <f t="shared" si="10"/>
        <v>0</v>
      </c>
      <c r="M48" s="31">
        <f t="shared" si="10"/>
        <v>0</v>
      </c>
      <c r="N48" s="31">
        <f t="shared" si="10"/>
        <v>0</v>
      </c>
    </row>
    <row r="49" spans="1:14" ht="16.5" thickBot="1" x14ac:dyDescent="0.3">
      <c r="A49" s="6"/>
      <c r="B49" s="29" t="s">
        <v>0</v>
      </c>
      <c r="C49" s="57"/>
      <c r="D49" s="39">
        <f>-SUM(E48:N48)</f>
        <v>-193782.6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</row>
    <row r="50" spans="1:14" ht="18.75" thickTop="1" x14ac:dyDescent="0.25">
      <c r="A50" s="55" t="s">
        <v>33</v>
      </c>
      <c r="B50" s="26" t="s">
        <v>12</v>
      </c>
      <c r="D50" s="42">
        <f>$D$49</f>
        <v>-193782.6</v>
      </c>
      <c r="E50" s="31">
        <f>SUM(E48:E48)</f>
        <v>32297.1</v>
      </c>
      <c r="F50" s="31">
        <f t="shared" ref="F50:N50" si="11">SUM(F48:F48)</f>
        <v>32297.1</v>
      </c>
      <c r="G50" s="31">
        <f t="shared" si="11"/>
        <v>32297.1</v>
      </c>
      <c r="H50" s="31">
        <f t="shared" si="11"/>
        <v>32297.1</v>
      </c>
      <c r="I50" s="31">
        <f t="shared" si="11"/>
        <v>32297.1</v>
      </c>
      <c r="J50" s="31">
        <f t="shared" si="11"/>
        <v>32297.1</v>
      </c>
      <c r="K50" s="31">
        <f t="shared" si="11"/>
        <v>0</v>
      </c>
      <c r="L50" s="31">
        <f t="shared" si="11"/>
        <v>0</v>
      </c>
      <c r="M50" s="31">
        <f t="shared" si="11"/>
        <v>0</v>
      </c>
      <c r="N50" s="31">
        <f t="shared" si="11"/>
        <v>0</v>
      </c>
    </row>
    <row r="52" spans="1:14" ht="18" x14ac:dyDescent="0.25">
      <c r="C52" s="59" t="s">
        <v>34</v>
      </c>
      <c r="D52" s="45" t="s">
        <v>39</v>
      </c>
      <c r="E52" s="60">
        <f>NPV(12%,E50:N50)+D50</f>
        <v>-60996.066531467135</v>
      </c>
      <c r="F52" s="7"/>
      <c r="G52" s="61"/>
      <c r="H52" s="7"/>
    </row>
    <row r="56" spans="1:14" ht="15.75" x14ac:dyDescent="0.25">
      <c r="B56" s="62" t="s">
        <v>36</v>
      </c>
      <c r="C56" s="62"/>
    </row>
    <row r="57" spans="1:14" ht="15.75" x14ac:dyDescent="0.25">
      <c r="B57" s="10" t="s">
        <v>20</v>
      </c>
      <c r="C57" s="50">
        <v>0.1</v>
      </c>
    </row>
    <row r="58" spans="1:14" ht="15.75" x14ac:dyDescent="0.25">
      <c r="A58" s="53"/>
      <c r="B58" s="10" t="s">
        <v>21</v>
      </c>
      <c r="C58" s="51">
        <v>645942</v>
      </c>
    </row>
    <row r="59" spans="1:14" ht="15.75" x14ac:dyDescent="0.25">
      <c r="B59" s="10" t="s">
        <v>23</v>
      </c>
      <c r="C59" s="51">
        <v>155000</v>
      </c>
    </row>
    <row r="60" spans="1:14" ht="15.75" x14ac:dyDescent="0.25">
      <c r="B60" s="10" t="s">
        <v>2</v>
      </c>
      <c r="C60" s="52">
        <v>10</v>
      </c>
    </row>
    <row r="61" spans="1:14" ht="15.75" x14ac:dyDescent="0.25">
      <c r="B61" s="10" t="s">
        <v>38</v>
      </c>
      <c r="C61" s="50">
        <v>0.3</v>
      </c>
    </row>
    <row r="62" spans="1:14" ht="15.75" x14ac:dyDescent="0.25">
      <c r="B62" s="10" t="s">
        <v>28</v>
      </c>
      <c r="C62" s="50">
        <f>$D$2+$E$2*$F$2</f>
        <v>0.12368799999999999</v>
      </c>
    </row>
    <row r="63" spans="1:14" x14ac:dyDescent="0.25">
      <c r="B63" s="24" t="s">
        <v>14</v>
      </c>
    </row>
    <row r="65" spans="1:14" ht="15.75" x14ac:dyDescent="0.25">
      <c r="A65" s="25"/>
      <c r="B65" s="26" t="s">
        <v>10</v>
      </c>
      <c r="C65" s="54" t="s">
        <v>2</v>
      </c>
      <c r="D65" s="54">
        <v>0</v>
      </c>
      <c r="E65" s="54">
        <v>1</v>
      </c>
      <c r="F65" s="54">
        <v>2</v>
      </c>
      <c r="G65" s="54">
        <v>3</v>
      </c>
      <c r="H65" s="54">
        <v>4</v>
      </c>
      <c r="I65" s="54">
        <v>5</v>
      </c>
      <c r="J65" s="54">
        <v>6</v>
      </c>
      <c r="K65" s="54">
        <v>7</v>
      </c>
      <c r="L65" s="54">
        <v>8</v>
      </c>
      <c r="M65" s="54">
        <v>9</v>
      </c>
      <c r="N65" s="54">
        <v>10</v>
      </c>
    </row>
    <row r="66" spans="1:14" ht="18" x14ac:dyDescent="0.25">
      <c r="A66" s="28" t="s">
        <v>30</v>
      </c>
      <c r="B66" s="29" t="s">
        <v>6</v>
      </c>
      <c r="C66" s="31"/>
      <c r="D66" s="31"/>
      <c r="E66" s="31">
        <f>IF(D67&gt;0,$C$58*$C$57,0)</f>
        <v>64594.200000000004</v>
      </c>
      <c r="F66" s="31">
        <f t="shared" ref="F66:N66" si="12">IF(E67&gt;0,$C$58*$C$57,0)</f>
        <v>64594.200000000004</v>
      </c>
      <c r="G66" s="31">
        <f t="shared" si="12"/>
        <v>64594.200000000004</v>
      </c>
      <c r="H66" s="31">
        <f t="shared" si="12"/>
        <v>64594.200000000004</v>
      </c>
      <c r="I66" s="31">
        <f t="shared" si="12"/>
        <v>64594.200000000004</v>
      </c>
      <c r="J66" s="31">
        <f t="shared" si="12"/>
        <v>64594.200000000004</v>
      </c>
      <c r="K66" s="31">
        <f t="shared" si="12"/>
        <v>64594.200000000004</v>
      </c>
      <c r="L66" s="31">
        <f t="shared" si="12"/>
        <v>64594.200000000004</v>
      </c>
      <c r="M66" s="31">
        <f>IF(L67&gt;0,$C$58*$C$57,0)</f>
        <v>64594.200000000004</v>
      </c>
      <c r="N66" s="31">
        <f t="shared" si="12"/>
        <v>64594.200000000004</v>
      </c>
    </row>
    <row r="67" spans="1:14" ht="18" x14ac:dyDescent="0.25">
      <c r="A67" s="28" t="s">
        <v>31</v>
      </c>
      <c r="B67" s="29" t="s">
        <v>5</v>
      </c>
      <c r="C67" s="31"/>
      <c r="D67" s="31">
        <f>$C$58</f>
        <v>645942</v>
      </c>
      <c r="E67" s="31">
        <f>D67-E66</f>
        <v>581347.80000000005</v>
      </c>
      <c r="F67" s="31">
        <f t="shared" ref="F67:N67" si="13">E67-F66</f>
        <v>516753.60000000003</v>
      </c>
      <c r="G67" s="31">
        <f t="shared" si="13"/>
        <v>452159.4</v>
      </c>
      <c r="H67" s="31">
        <f t="shared" si="13"/>
        <v>387565.2</v>
      </c>
      <c r="I67" s="31">
        <f t="shared" si="13"/>
        <v>322971</v>
      </c>
      <c r="J67" s="31">
        <f t="shared" si="13"/>
        <v>258376.8</v>
      </c>
      <c r="K67" s="31">
        <f t="shared" si="13"/>
        <v>193782.59999999998</v>
      </c>
      <c r="L67" s="31">
        <f t="shared" si="13"/>
        <v>129188.39999999997</v>
      </c>
      <c r="M67" s="31">
        <f t="shared" si="13"/>
        <v>64594.199999999961</v>
      </c>
      <c r="N67" s="31">
        <f t="shared" si="13"/>
        <v>0</v>
      </c>
    </row>
    <row r="68" spans="1:14" ht="15.75" x14ac:dyDescent="0.25">
      <c r="A68" s="63"/>
      <c r="B68" s="29" t="s">
        <v>7</v>
      </c>
      <c r="C68" s="31"/>
      <c r="D68" s="31">
        <f>$C$59</f>
        <v>155000</v>
      </c>
      <c r="E68" s="31"/>
      <c r="F68" s="31"/>
      <c r="G68" s="31"/>
      <c r="H68" s="31"/>
      <c r="I68" s="31"/>
      <c r="J68" s="31"/>
      <c r="K68" s="31"/>
      <c r="L68" s="31"/>
      <c r="M68" s="31"/>
      <c r="N68" s="31"/>
    </row>
    <row r="69" spans="1:14" ht="15.75" x14ac:dyDescent="0.25">
      <c r="A69" s="63"/>
      <c r="B69" s="64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</row>
    <row r="70" spans="1:14" ht="15.75" x14ac:dyDescent="0.25">
      <c r="A70" s="63"/>
      <c r="B70" s="26" t="s">
        <v>11</v>
      </c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</row>
    <row r="71" spans="1:14" ht="18" x14ac:dyDescent="0.25">
      <c r="A71" s="28" t="s">
        <v>32</v>
      </c>
      <c r="B71" s="29" t="s">
        <v>19</v>
      </c>
      <c r="C71" s="31"/>
      <c r="D71" s="31"/>
      <c r="E71" s="31">
        <f>$C$61*E66</f>
        <v>19378.260000000002</v>
      </c>
      <c r="F71" s="31">
        <f t="shared" ref="F71:N71" si="14">$C$61*F66</f>
        <v>19378.260000000002</v>
      </c>
      <c r="G71" s="31">
        <f t="shared" si="14"/>
        <v>19378.260000000002</v>
      </c>
      <c r="H71" s="31">
        <f t="shared" si="14"/>
        <v>19378.260000000002</v>
      </c>
      <c r="I71" s="31">
        <f t="shared" si="14"/>
        <v>19378.260000000002</v>
      </c>
      <c r="J71" s="31">
        <f t="shared" si="14"/>
        <v>19378.260000000002</v>
      </c>
      <c r="K71" s="31">
        <f t="shared" si="14"/>
        <v>19378.260000000002</v>
      </c>
      <c r="L71" s="31">
        <f t="shared" si="14"/>
        <v>19378.260000000002</v>
      </c>
      <c r="M71" s="31">
        <f t="shared" si="14"/>
        <v>19378.260000000002</v>
      </c>
      <c r="N71" s="31">
        <f t="shared" si="14"/>
        <v>19378.260000000002</v>
      </c>
    </row>
    <row r="72" spans="1:14" ht="16.5" thickBot="1" x14ac:dyDescent="0.3">
      <c r="A72" s="63"/>
      <c r="B72" s="29" t="s">
        <v>0</v>
      </c>
      <c r="C72" s="57"/>
      <c r="D72" s="39">
        <f>-(($D$67-$D$68)+SUM(E71:N71))</f>
        <v>-684724.60000000009</v>
      </c>
      <c r="E72" s="58"/>
      <c r="F72" s="58"/>
      <c r="G72" s="58"/>
      <c r="H72" s="58"/>
      <c r="I72" s="58"/>
      <c r="J72" s="58"/>
      <c r="K72" s="58"/>
      <c r="L72" s="58"/>
      <c r="M72" s="58"/>
      <c r="N72" s="58"/>
    </row>
    <row r="73" spans="1:14" ht="18.75" thickTop="1" x14ac:dyDescent="0.25">
      <c r="A73" s="28" t="s">
        <v>33</v>
      </c>
      <c r="B73" s="26" t="s">
        <v>12</v>
      </c>
      <c r="D73" s="42">
        <f>D72</f>
        <v>-684724.60000000009</v>
      </c>
      <c r="E73" s="31">
        <f t="shared" ref="E73:N73" si="15">SUM(E71:E71)</f>
        <v>19378.260000000002</v>
      </c>
      <c r="F73" s="31">
        <f t="shared" si="15"/>
        <v>19378.260000000002</v>
      </c>
      <c r="G73" s="31">
        <f t="shared" si="15"/>
        <v>19378.260000000002</v>
      </c>
      <c r="H73" s="31">
        <f t="shared" si="15"/>
        <v>19378.260000000002</v>
      </c>
      <c r="I73" s="31">
        <f t="shared" si="15"/>
        <v>19378.260000000002</v>
      </c>
      <c r="J73" s="31">
        <f t="shared" si="15"/>
        <v>19378.260000000002</v>
      </c>
      <c r="K73" s="31">
        <f t="shared" si="15"/>
        <v>19378.260000000002</v>
      </c>
      <c r="L73" s="31">
        <f t="shared" si="15"/>
        <v>19378.260000000002</v>
      </c>
      <c r="M73" s="31">
        <f t="shared" si="15"/>
        <v>19378.260000000002</v>
      </c>
      <c r="N73" s="31">
        <f t="shared" si="15"/>
        <v>19378.260000000002</v>
      </c>
    </row>
    <row r="75" spans="1:14" ht="18" x14ac:dyDescent="0.25">
      <c r="C75" s="28" t="s">
        <v>34</v>
      </c>
      <c r="D75" s="45" t="s">
        <v>39</v>
      </c>
      <c r="E75" s="60">
        <f>NPV(12%,E73:N73)+D73</f>
        <v>-575233.10909746704</v>
      </c>
      <c r="F75" s="7"/>
      <c r="G75" s="61"/>
      <c r="H75" s="7"/>
    </row>
    <row r="76" spans="1:14" ht="18" x14ac:dyDescent="0.25">
      <c r="C76" s="28"/>
    </row>
    <row r="77" spans="1:14" x14ac:dyDescent="0.25">
      <c r="E77" s="14"/>
    </row>
    <row r="78" spans="1:14" ht="15.75" x14ac:dyDescent="0.25">
      <c r="B78" s="62" t="s">
        <v>43</v>
      </c>
      <c r="C78" s="62"/>
    </row>
    <row r="79" spans="1:14" ht="15.75" x14ac:dyDescent="0.25">
      <c r="B79" s="10" t="s">
        <v>0</v>
      </c>
      <c r="C79" s="51">
        <v>934500</v>
      </c>
      <c r="G79" s="14"/>
    </row>
    <row r="80" spans="1:14" ht="15.75" x14ac:dyDescent="0.25">
      <c r="B80" s="10" t="s">
        <v>1</v>
      </c>
      <c r="C80" s="51">
        <v>143450</v>
      </c>
    </row>
    <row r="81" spans="1:16" ht="15.75" x14ac:dyDescent="0.25">
      <c r="B81" s="10" t="s">
        <v>2</v>
      </c>
      <c r="C81" s="52">
        <v>12</v>
      </c>
    </row>
    <row r="82" spans="1:16" ht="15.75" x14ac:dyDescent="0.25">
      <c r="B82" s="10" t="s">
        <v>3</v>
      </c>
      <c r="C82" s="16">
        <v>0.3</v>
      </c>
    </row>
    <row r="83" spans="1:16" ht="15.75" x14ac:dyDescent="0.25">
      <c r="B83" s="10" t="s">
        <v>28</v>
      </c>
      <c r="C83" s="16">
        <f>$D$2+$E$2*$F$2</f>
        <v>0.12368799999999999</v>
      </c>
    </row>
    <row r="84" spans="1:16" ht="15.75" x14ac:dyDescent="0.25">
      <c r="B84" s="10" t="s">
        <v>4</v>
      </c>
      <c r="C84" s="51">
        <f>$C$5/C85</f>
        <v>93450</v>
      </c>
    </row>
    <row r="85" spans="1:16" ht="15.75" x14ac:dyDescent="0.25">
      <c r="B85" s="10" t="s">
        <v>9</v>
      </c>
      <c r="C85" s="52">
        <v>10</v>
      </c>
    </row>
    <row r="87" spans="1:16" x14ac:dyDescent="0.25">
      <c r="B87" s="24" t="s">
        <v>15</v>
      </c>
    </row>
    <row r="89" spans="1:16" ht="15.75" x14ac:dyDescent="0.25">
      <c r="A89" s="70"/>
      <c r="B89" s="26" t="s">
        <v>10</v>
      </c>
      <c r="C89" s="72" t="s">
        <v>2</v>
      </c>
      <c r="D89" s="72">
        <v>0</v>
      </c>
      <c r="E89" s="72">
        <v>1</v>
      </c>
      <c r="F89" s="72">
        <v>2</v>
      </c>
      <c r="G89" s="72">
        <v>3</v>
      </c>
      <c r="H89" s="72">
        <v>4</v>
      </c>
      <c r="I89" s="72">
        <v>5</v>
      </c>
      <c r="J89" s="72">
        <v>6</v>
      </c>
      <c r="K89" s="72">
        <v>7</v>
      </c>
      <c r="L89" s="72">
        <v>8</v>
      </c>
      <c r="M89" s="72">
        <v>9</v>
      </c>
      <c r="N89" s="72">
        <v>10</v>
      </c>
      <c r="O89" s="72">
        <v>11</v>
      </c>
      <c r="P89" s="72">
        <v>12</v>
      </c>
    </row>
    <row r="90" spans="1:16" ht="15.75" x14ac:dyDescent="0.25">
      <c r="A90" s="73" t="s">
        <v>30</v>
      </c>
      <c r="B90" s="74" t="s">
        <v>6</v>
      </c>
      <c r="C90" s="31"/>
      <c r="D90" s="31"/>
      <c r="E90" s="31">
        <f>IF(E89&lt;=$C$85,$C$84,0)</f>
        <v>93450</v>
      </c>
      <c r="F90" s="31">
        <f t="shared" ref="F90:P90" si="16">IF(F89&lt;=$C$85,$C$84,0)</f>
        <v>93450</v>
      </c>
      <c r="G90" s="31">
        <f t="shared" si="16"/>
        <v>93450</v>
      </c>
      <c r="H90" s="31">
        <f t="shared" si="16"/>
        <v>93450</v>
      </c>
      <c r="I90" s="31">
        <f t="shared" si="16"/>
        <v>93450</v>
      </c>
      <c r="J90" s="31">
        <f t="shared" si="16"/>
        <v>93450</v>
      </c>
      <c r="K90" s="31">
        <f t="shared" si="16"/>
        <v>93450</v>
      </c>
      <c r="L90" s="31">
        <f t="shared" si="16"/>
        <v>93450</v>
      </c>
      <c r="M90" s="31">
        <f t="shared" si="16"/>
        <v>93450</v>
      </c>
      <c r="N90" s="31">
        <f t="shared" si="16"/>
        <v>93450</v>
      </c>
      <c r="O90" s="31">
        <f t="shared" si="16"/>
        <v>0</v>
      </c>
      <c r="P90" s="31">
        <f t="shared" si="16"/>
        <v>0</v>
      </c>
    </row>
    <row r="91" spans="1:16" ht="15.75" x14ac:dyDescent="0.25">
      <c r="A91" s="73" t="s">
        <v>31</v>
      </c>
      <c r="B91" s="74" t="s">
        <v>5</v>
      </c>
      <c r="C91" s="31"/>
      <c r="D91" s="31">
        <f>$C$79</f>
        <v>934500</v>
      </c>
      <c r="E91" s="31">
        <f>D91-E90</f>
        <v>841050</v>
      </c>
      <c r="F91" s="31">
        <f t="shared" ref="F91:P91" si="17">E91-F90</f>
        <v>747600</v>
      </c>
      <c r="G91" s="31">
        <f t="shared" si="17"/>
        <v>654150</v>
      </c>
      <c r="H91" s="31">
        <f t="shared" si="17"/>
        <v>560700</v>
      </c>
      <c r="I91" s="31">
        <f t="shared" si="17"/>
        <v>467250</v>
      </c>
      <c r="J91" s="31">
        <f t="shared" si="17"/>
        <v>373800</v>
      </c>
      <c r="K91" s="31">
        <f t="shared" si="17"/>
        <v>280350</v>
      </c>
      <c r="L91" s="31">
        <f t="shared" si="17"/>
        <v>186900</v>
      </c>
      <c r="M91" s="31">
        <f t="shared" si="17"/>
        <v>93450</v>
      </c>
      <c r="N91" s="31">
        <f t="shared" si="17"/>
        <v>0</v>
      </c>
      <c r="O91" s="31">
        <f t="shared" si="17"/>
        <v>0</v>
      </c>
      <c r="P91" s="31">
        <f t="shared" si="17"/>
        <v>0</v>
      </c>
    </row>
    <row r="92" spans="1:16" ht="15.75" x14ac:dyDescent="0.25">
      <c r="A92" s="70"/>
      <c r="B92" s="74" t="s">
        <v>1</v>
      </c>
      <c r="C92" s="31"/>
      <c r="D92" s="31"/>
      <c r="E92" s="31">
        <f>$C$80</f>
        <v>143450</v>
      </c>
      <c r="F92" s="31">
        <f t="shared" ref="F92:P92" si="18">$C$80</f>
        <v>143450</v>
      </c>
      <c r="G92" s="31">
        <f t="shared" si="18"/>
        <v>143450</v>
      </c>
      <c r="H92" s="31">
        <f t="shared" si="18"/>
        <v>143450</v>
      </c>
      <c r="I92" s="31">
        <f t="shared" si="18"/>
        <v>143450</v>
      </c>
      <c r="J92" s="31">
        <f t="shared" si="18"/>
        <v>143450</v>
      </c>
      <c r="K92" s="31">
        <f t="shared" si="18"/>
        <v>143450</v>
      </c>
      <c r="L92" s="31">
        <f t="shared" si="18"/>
        <v>143450</v>
      </c>
      <c r="M92" s="31">
        <f t="shared" si="18"/>
        <v>143450</v>
      </c>
      <c r="N92" s="31">
        <f>$C$80</f>
        <v>143450</v>
      </c>
      <c r="O92" s="31">
        <f t="shared" si="18"/>
        <v>143450</v>
      </c>
      <c r="P92" s="31">
        <f t="shared" si="18"/>
        <v>143450</v>
      </c>
    </row>
    <row r="93" spans="1:16" ht="15.75" x14ac:dyDescent="0.25">
      <c r="A93" s="70"/>
      <c r="B93" s="70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</row>
    <row r="94" spans="1:16" x14ac:dyDescent="0.25">
      <c r="A94" s="70"/>
      <c r="B94" s="71" t="s">
        <v>11</v>
      </c>
      <c r="C94" s="75"/>
      <c r="D94" s="75"/>
      <c r="E94" s="75"/>
      <c r="F94" s="75"/>
      <c r="G94" s="75"/>
      <c r="H94" s="75"/>
      <c r="I94" s="75"/>
      <c r="J94" s="75"/>
      <c r="K94" s="75"/>
      <c r="L94" s="75"/>
      <c r="M94" s="75"/>
      <c r="N94" s="75"/>
      <c r="O94" s="75"/>
      <c r="P94" s="75"/>
    </row>
    <row r="95" spans="1:16" x14ac:dyDescent="0.25">
      <c r="A95" s="73" t="s">
        <v>32</v>
      </c>
      <c r="B95" s="74" t="s">
        <v>19</v>
      </c>
      <c r="C95" s="75"/>
      <c r="D95" s="75"/>
      <c r="E95" s="75">
        <f>$C$82*E90</f>
        <v>28035</v>
      </c>
      <c r="F95" s="75">
        <f t="shared" ref="F95:P95" si="19">$C$82*F90</f>
        <v>28035</v>
      </c>
      <c r="G95" s="75">
        <f t="shared" si="19"/>
        <v>28035</v>
      </c>
      <c r="H95" s="75">
        <f t="shared" si="19"/>
        <v>28035</v>
      </c>
      <c r="I95" s="75">
        <f t="shared" si="19"/>
        <v>28035</v>
      </c>
      <c r="J95" s="75">
        <f t="shared" si="19"/>
        <v>28035</v>
      </c>
      <c r="K95" s="75">
        <f t="shared" si="19"/>
        <v>28035</v>
      </c>
      <c r="L95" s="75">
        <f t="shared" si="19"/>
        <v>28035</v>
      </c>
      <c r="M95" s="75">
        <f t="shared" si="19"/>
        <v>28035</v>
      </c>
      <c r="N95" s="75">
        <f t="shared" si="19"/>
        <v>28035</v>
      </c>
      <c r="O95" s="75">
        <f t="shared" si="19"/>
        <v>0</v>
      </c>
      <c r="P95" s="75">
        <f t="shared" si="19"/>
        <v>0</v>
      </c>
    </row>
    <row r="96" spans="1:16" x14ac:dyDescent="0.25">
      <c r="A96" s="73" t="s">
        <v>33</v>
      </c>
      <c r="B96" s="74" t="s">
        <v>24</v>
      </c>
      <c r="C96" s="70"/>
      <c r="D96" s="76"/>
      <c r="E96" s="75">
        <f>(1-$C$82)*E92</f>
        <v>100415</v>
      </c>
      <c r="F96" s="75">
        <f t="shared" ref="F96:P96" si="20">(1-$C$82)*F92</f>
        <v>100415</v>
      </c>
      <c r="G96" s="75">
        <f t="shared" si="20"/>
        <v>100415</v>
      </c>
      <c r="H96" s="75">
        <f t="shared" si="20"/>
        <v>100415</v>
      </c>
      <c r="I96" s="75">
        <f t="shared" si="20"/>
        <v>100415</v>
      </c>
      <c r="J96" s="75">
        <f t="shared" si="20"/>
        <v>100415</v>
      </c>
      <c r="K96" s="75">
        <f t="shared" si="20"/>
        <v>100415</v>
      </c>
      <c r="L96" s="75">
        <f t="shared" si="20"/>
        <v>100415</v>
      </c>
      <c r="M96" s="75">
        <f t="shared" si="20"/>
        <v>100415</v>
      </c>
      <c r="N96" s="75">
        <f t="shared" si="20"/>
        <v>100415</v>
      </c>
      <c r="O96" s="75">
        <f t="shared" si="20"/>
        <v>100415</v>
      </c>
      <c r="P96" s="75">
        <f t="shared" si="20"/>
        <v>100415</v>
      </c>
    </row>
    <row r="97" spans="1:16" ht="15.75" thickBot="1" x14ac:dyDescent="0.3">
      <c r="A97" s="70"/>
      <c r="B97" s="74" t="s">
        <v>0</v>
      </c>
      <c r="C97" s="77"/>
      <c r="D97" s="78">
        <f>-D91</f>
        <v>-934500</v>
      </c>
      <c r="E97" s="79"/>
      <c r="F97" s="79"/>
      <c r="G97" s="79"/>
      <c r="H97" s="79"/>
      <c r="I97" s="79"/>
      <c r="J97" s="79"/>
      <c r="K97" s="79"/>
      <c r="L97" s="79"/>
      <c r="M97" s="79"/>
      <c r="N97" s="79"/>
      <c r="O97" s="79"/>
      <c r="P97" s="79"/>
    </row>
    <row r="98" spans="1:16" ht="15.75" thickTop="1" x14ac:dyDescent="0.25">
      <c r="A98" s="81" t="s">
        <v>34</v>
      </c>
      <c r="B98" s="71" t="s">
        <v>12</v>
      </c>
      <c r="C98" s="70"/>
      <c r="D98" s="80">
        <f>D97</f>
        <v>-934500</v>
      </c>
      <c r="E98" s="75">
        <f>SUM(E95:E97)</f>
        <v>128450</v>
      </c>
      <c r="F98" s="75">
        <f>SUM(F95:F97)</f>
        <v>128450</v>
      </c>
      <c r="G98" s="75">
        <f t="shared" ref="G98:P98" si="21">SUM(G95:G97)</f>
        <v>128450</v>
      </c>
      <c r="H98" s="75">
        <f t="shared" si="21"/>
        <v>128450</v>
      </c>
      <c r="I98" s="75">
        <f t="shared" si="21"/>
        <v>128450</v>
      </c>
      <c r="J98" s="75">
        <f t="shared" si="21"/>
        <v>128450</v>
      </c>
      <c r="K98" s="75">
        <f t="shared" si="21"/>
        <v>128450</v>
      </c>
      <c r="L98" s="75">
        <f t="shared" si="21"/>
        <v>128450</v>
      </c>
      <c r="M98" s="75">
        <f t="shared" si="21"/>
        <v>128450</v>
      </c>
      <c r="N98" s="75">
        <f t="shared" si="21"/>
        <v>128450</v>
      </c>
      <c r="O98" s="75">
        <f t="shared" si="21"/>
        <v>100415</v>
      </c>
      <c r="P98" s="75">
        <f t="shared" si="21"/>
        <v>100415</v>
      </c>
    </row>
    <row r="99" spans="1:16" x14ac:dyDescent="0.25">
      <c r="A99" s="70"/>
      <c r="B99" s="70"/>
      <c r="C99" s="70"/>
      <c r="D99" s="70"/>
      <c r="E99" s="70"/>
      <c r="F99" s="70"/>
      <c r="G99" s="70"/>
      <c r="H99" s="70"/>
      <c r="I99" s="70"/>
      <c r="J99" s="70"/>
      <c r="K99" s="70"/>
      <c r="L99" s="70"/>
      <c r="M99" s="70"/>
      <c r="N99" s="70"/>
      <c r="O99" s="70"/>
      <c r="P99" s="70"/>
    </row>
    <row r="100" spans="1:16" ht="15.75" x14ac:dyDescent="0.25">
      <c r="A100" s="70"/>
      <c r="B100" s="70"/>
      <c r="C100" s="81"/>
      <c r="D100" s="82" t="s">
        <v>39</v>
      </c>
      <c r="E100" s="60">
        <f>NPV(12%,E98:P98)+D98</f>
        <v>-154087.90954942896</v>
      </c>
      <c r="F100" s="83"/>
      <c r="G100" s="84"/>
      <c r="H100" s="83"/>
      <c r="I100" s="70"/>
      <c r="J100" s="70"/>
      <c r="K100" s="70"/>
      <c r="L100" s="70"/>
      <c r="M100" s="70"/>
      <c r="N100" s="70"/>
      <c r="O100" s="70"/>
      <c r="P100" s="70"/>
    </row>
    <row r="103" spans="1:16" ht="15.75" x14ac:dyDescent="0.25">
      <c r="B103" s="62" t="s">
        <v>44</v>
      </c>
      <c r="C103" s="62"/>
    </row>
    <row r="104" spans="1:16" ht="15.75" x14ac:dyDescent="0.25">
      <c r="B104" s="10" t="s">
        <v>0</v>
      </c>
      <c r="C104" s="51">
        <v>934500</v>
      </c>
    </row>
    <row r="105" spans="1:16" ht="15.75" x14ac:dyDescent="0.25">
      <c r="B105" s="10" t="s">
        <v>2</v>
      </c>
      <c r="C105" s="52">
        <v>10</v>
      </c>
    </row>
    <row r="106" spans="1:16" ht="15.75" x14ac:dyDescent="0.25">
      <c r="B106" s="10" t="s">
        <v>38</v>
      </c>
      <c r="C106" s="16">
        <v>0.3</v>
      </c>
    </row>
    <row r="107" spans="1:16" ht="15.75" x14ac:dyDescent="0.25">
      <c r="B107" s="10" t="s">
        <v>28</v>
      </c>
      <c r="C107" s="16">
        <f>$D$2+$E$2*$F$2</f>
        <v>0.12368799999999999</v>
      </c>
    </row>
    <row r="108" spans="1:16" ht="15.75" x14ac:dyDescent="0.25">
      <c r="B108" s="10" t="s">
        <v>4</v>
      </c>
      <c r="C108" s="51">
        <f>$C$5/$C$11</f>
        <v>93450</v>
      </c>
    </row>
    <row r="109" spans="1:16" ht="15.75" x14ac:dyDescent="0.25">
      <c r="B109" s="10" t="s">
        <v>9</v>
      </c>
      <c r="C109" s="52">
        <v>10</v>
      </c>
    </row>
    <row r="110" spans="1:16" ht="15.75" x14ac:dyDescent="0.25">
      <c r="B110" s="10" t="s">
        <v>45</v>
      </c>
      <c r="C110" s="51">
        <f>$F$17</f>
        <v>747600</v>
      </c>
    </row>
    <row r="111" spans="1:16" ht="30" x14ac:dyDescent="0.25">
      <c r="B111" s="65" t="s">
        <v>16</v>
      </c>
      <c r="C111" s="66" t="s">
        <v>17</v>
      </c>
      <c r="D111" s="6"/>
    </row>
    <row r="113" spans="1:14" ht="15.75" x14ac:dyDescent="0.25">
      <c r="B113" s="26" t="s">
        <v>10</v>
      </c>
      <c r="C113" s="54" t="s">
        <v>2</v>
      </c>
      <c r="D113" s="54">
        <v>0</v>
      </c>
      <c r="E113" s="54">
        <v>1</v>
      </c>
      <c r="F113" s="54">
        <v>2</v>
      </c>
      <c r="G113" s="54">
        <v>3</v>
      </c>
      <c r="H113" s="54">
        <v>4</v>
      </c>
      <c r="I113" s="54">
        <v>5</v>
      </c>
      <c r="J113" s="54">
        <v>6</v>
      </c>
      <c r="K113" s="54">
        <v>7</v>
      </c>
      <c r="L113" s="54">
        <v>8</v>
      </c>
      <c r="M113" s="54">
        <v>9</v>
      </c>
      <c r="N113" s="54">
        <v>10</v>
      </c>
    </row>
    <row r="114" spans="1:14" ht="18" x14ac:dyDescent="0.25">
      <c r="A114" s="28" t="s">
        <v>30</v>
      </c>
      <c r="B114" s="29" t="s">
        <v>6</v>
      </c>
      <c r="C114" s="31"/>
      <c r="D114" s="31"/>
      <c r="E114" s="31">
        <f>IF(D115&gt;=$C$108,$C$108,0)</f>
        <v>93450</v>
      </c>
      <c r="F114" s="31">
        <f t="shared" ref="F114:N114" si="22">IF(E115&gt;=$C$108,$C$108,0)</f>
        <v>93450</v>
      </c>
      <c r="G114" s="31">
        <f t="shared" si="22"/>
        <v>93450</v>
      </c>
      <c r="H114" s="31">
        <f t="shared" si="22"/>
        <v>93450</v>
      </c>
      <c r="I114" s="31">
        <f t="shared" si="22"/>
        <v>93450</v>
      </c>
      <c r="J114" s="31">
        <f t="shared" si="22"/>
        <v>93450</v>
      </c>
      <c r="K114" s="31">
        <f t="shared" si="22"/>
        <v>93450</v>
      </c>
      <c r="L114" s="31">
        <f t="shared" si="22"/>
        <v>93450</v>
      </c>
      <c r="M114" s="31">
        <f t="shared" si="22"/>
        <v>0</v>
      </c>
      <c r="N114" s="31">
        <f t="shared" si="22"/>
        <v>0</v>
      </c>
    </row>
    <row r="115" spans="1:14" ht="18" x14ac:dyDescent="0.25">
      <c r="A115" s="28" t="s">
        <v>31</v>
      </c>
      <c r="B115" s="29" t="s">
        <v>5</v>
      </c>
      <c r="C115" s="31"/>
      <c r="D115" s="31">
        <f>$F$17</f>
        <v>747600</v>
      </c>
      <c r="E115" s="31">
        <f>D115-E114</f>
        <v>654150</v>
      </c>
      <c r="F115" s="31">
        <f t="shared" ref="F115:N115" si="23">E115-F114</f>
        <v>560700</v>
      </c>
      <c r="G115" s="31">
        <f t="shared" si="23"/>
        <v>467250</v>
      </c>
      <c r="H115" s="31">
        <f t="shared" si="23"/>
        <v>373800</v>
      </c>
      <c r="I115" s="31">
        <f t="shared" si="23"/>
        <v>280350</v>
      </c>
      <c r="J115" s="31">
        <f t="shared" si="23"/>
        <v>186900</v>
      </c>
      <c r="K115" s="31">
        <f t="shared" si="23"/>
        <v>93450</v>
      </c>
      <c r="L115" s="31">
        <f t="shared" si="23"/>
        <v>0</v>
      </c>
      <c r="M115" s="31">
        <f t="shared" si="23"/>
        <v>0</v>
      </c>
      <c r="N115" s="31">
        <f t="shared" si="23"/>
        <v>0</v>
      </c>
    </row>
    <row r="116" spans="1:14" ht="15.75" x14ac:dyDescent="0.25">
      <c r="B116" s="29" t="s">
        <v>7</v>
      </c>
      <c r="C116" s="31"/>
      <c r="D116" s="31">
        <v>0</v>
      </c>
      <c r="E116" s="31"/>
      <c r="F116" s="31"/>
      <c r="G116" s="31"/>
      <c r="H116" s="31"/>
      <c r="I116" s="31"/>
      <c r="J116" s="31"/>
      <c r="K116" s="31"/>
      <c r="L116" s="31"/>
      <c r="M116" s="31"/>
      <c r="N116" s="31"/>
    </row>
    <row r="117" spans="1:14" ht="15.75" x14ac:dyDescent="0.25"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</row>
    <row r="118" spans="1:14" ht="15.75" x14ac:dyDescent="0.25">
      <c r="B118" s="26" t="s">
        <v>11</v>
      </c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</row>
    <row r="119" spans="1:14" ht="18" x14ac:dyDescent="0.25">
      <c r="A119" s="28" t="s">
        <v>32</v>
      </c>
      <c r="B119" s="29" t="s">
        <v>19</v>
      </c>
      <c r="C119" s="31"/>
      <c r="D119" s="31"/>
      <c r="E119" s="31">
        <f>$C$106*E114</f>
        <v>28035</v>
      </c>
      <c r="F119" s="31">
        <f t="shared" ref="F119:N119" si="24">$C$106*F114</f>
        <v>28035</v>
      </c>
      <c r="G119" s="31">
        <f t="shared" si="24"/>
        <v>28035</v>
      </c>
      <c r="H119" s="31">
        <f t="shared" si="24"/>
        <v>28035</v>
      </c>
      <c r="I119" s="31">
        <f t="shared" si="24"/>
        <v>28035</v>
      </c>
      <c r="J119" s="31">
        <f t="shared" si="24"/>
        <v>28035</v>
      </c>
      <c r="K119" s="31">
        <f t="shared" si="24"/>
        <v>28035</v>
      </c>
      <c r="L119" s="31">
        <f t="shared" si="24"/>
        <v>28035</v>
      </c>
      <c r="M119" s="31">
        <f t="shared" si="24"/>
        <v>0</v>
      </c>
      <c r="N119" s="31">
        <f t="shared" si="24"/>
        <v>0</v>
      </c>
    </row>
    <row r="120" spans="1:14" ht="16.5" thickBot="1" x14ac:dyDescent="0.3">
      <c r="B120" s="29" t="s">
        <v>0</v>
      </c>
      <c r="C120" s="57"/>
      <c r="D120" s="39">
        <f>-SUM(E119:N119)</f>
        <v>-224280</v>
      </c>
      <c r="E120" s="58"/>
      <c r="F120" s="58"/>
      <c r="G120" s="58"/>
      <c r="H120" s="58"/>
      <c r="I120" s="58"/>
      <c r="J120" s="58"/>
      <c r="K120" s="58"/>
      <c r="L120" s="58"/>
      <c r="M120" s="58"/>
      <c r="N120" s="58"/>
    </row>
    <row r="121" spans="1:14" ht="18.75" thickTop="1" x14ac:dyDescent="0.25">
      <c r="A121" s="28" t="s">
        <v>33</v>
      </c>
      <c r="B121" s="26" t="s">
        <v>12</v>
      </c>
      <c r="D121" s="42">
        <f>D120</f>
        <v>-224280</v>
      </c>
      <c r="E121" s="31">
        <f>SUM(E119:E120)</f>
        <v>28035</v>
      </c>
      <c r="F121" s="31">
        <f t="shared" ref="F121:N121" si="25">SUM(F119:F120)</f>
        <v>28035</v>
      </c>
      <c r="G121" s="31">
        <f t="shared" si="25"/>
        <v>28035</v>
      </c>
      <c r="H121" s="31">
        <f t="shared" si="25"/>
        <v>28035</v>
      </c>
      <c r="I121" s="31">
        <f t="shared" si="25"/>
        <v>28035</v>
      </c>
      <c r="J121" s="31">
        <f t="shared" si="25"/>
        <v>28035</v>
      </c>
      <c r="K121" s="31">
        <f t="shared" si="25"/>
        <v>28035</v>
      </c>
      <c r="L121" s="31">
        <f t="shared" si="25"/>
        <v>28035</v>
      </c>
      <c r="M121" s="31">
        <f t="shared" si="25"/>
        <v>0</v>
      </c>
      <c r="N121" s="31">
        <f t="shared" si="25"/>
        <v>0</v>
      </c>
    </row>
    <row r="123" spans="1:14" ht="18" x14ac:dyDescent="0.25">
      <c r="C123" s="59" t="s">
        <v>34</v>
      </c>
      <c r="D123" s="45" t="s">
        <v>39</v>
      </c>
      <c r="E123" s="60">
        <f>NPV($C$9,E121:N121)+D121</f>
        <v>-86788.581195790641</v>
      </c>
      <c r="F123" s="7"/>
      <c r="G123" s="61"/>
      <c r="H123" s="7"/>
    </row>
    <row r="127" spans="1:14" ht="15.75" x14ac:dyDescent="0.25">
      <c r="B127" s="62" t="s">
        <v>46</v>
      </c>
      <c r="C127" s="62"/>
    </row>
    <row r="128" spans="1:14" ht="15.75" x14ac:dyDescent="0.25">
      <c r="B128" s="10" t="s">
        <v>0</v>
      </c>
      <c r="C128" s="51">
        <v>1869000</v>
      </c>
      <c r="D128" s="14"/>
    </row>
    <row r="129" spans="1:14" ht="15.75" x14ac:dyDescent="0.25">
      <c r="B129" s="10" t="s">
        <v>1</v>
      </c>
      <c r="C129" s="51">
        <v>467250</v>
      </c>
      <c r="D129" s="14"/>
    </row>
    <row r="130" spans="1:14" ht="15.75" x14ac:dyDescent="0.25">
      <c r="B130" s="10" t="s">
        <v>2</v>
      </c>
      <c r="C130" s="52">
        <v>10</v>
      </c>
      <c r="H130" s="1">
        <v>10494</v>
      </c>
    </row>
    <row r="131" spans="1:14" ht="15.75" x14ac:dyDescent="0.25">
      <c r="B131" s="10" t="s">
        <v>3</v>
      </c>
      <c r="C131" s="16">
        <v>0.3</v>
      </c>
      <c r="H131" s="1">
        <v>7494</v>
      </c>
    </row>
    <row r="132" spans="1:14" ht="15.75" x14ac:dyDescent="0.25">
      <c r="B132" s="10" t="s">
        <v>28</v>
      </c>
      <c r="C132" s="16">
        <f>$D$2+$E$2*$F$2</f>
        <v>0.12368799999999999</v>
      </c>
      <c r="H132" s="1">
        <v>5358</v>
      </c>
    </row>
    <row r="133" spans="1:14" ht="15.75" x14ac:dyDescent="0.25">
      <c r="B133" s="10" t="s">
        <v>4</v>
      </c>
      <c r="C133" s="51">
        <f>C128/C130</f>
        <v>186900</v>
      </c>
      <c r="H133" s="1">
        <v>5352</v>
      </c>
    </row>
    <row r="134" spans="1:14" ht="15.75" x14ac:dyDescent="0.25">
      <c r="B134" s="10" t="s">
        <v>9</v>
      </c>
      <c r="C134" s="52">
        <v>10</v>
      </c>
      <c r="H134" s="1">
        <v>5358</v>
      </c>
    </row>
    <row r="135" spans="1:14" x14ac:dyDescent="0.25">
      <c r="B135" s="67"/>
      <c r="C135" s="22"/>
      <c r="H135" s="1">
        <v>2676</v>
      </c>
    </row>
    <row r="136" spans="1:14" x14ac:dyDescent="0.25">
      <c r="C136" s="22"/>
      <c r="H136" s="1">
        <f>SUM(H130:H135)</f>
        <v>36732</v>
      </c>
    </row>
    <row r="137" spans="1:14" x14ac:dyDescent="0.25">
      <c r="B137" s="24"/>
      <c r="C137" s="22"/>
    </row>
    <row r="139" spans="1:14" ht="15.75" x14ac:dyDescent="0.25">
      <c r="B139" s="26" t="s">
        <v>10</v>
      </c>
      <c r="C139" s="54" t="s">
        <v>2</v>
      </c>
      <c r="D139" s="54">
        <v>0</v>
      </c>
      <c r="E139" s="54">
        <v>1</v>
      </c>
      <c r="F139" s="54">
        <v>2</v>
      </c>
      <c r="G139" s="54">
        <v>3</v>
      </c>
      <c r="H139" s="54">
        <v>4</v>
      </c>
      <c r="I139" s="54">
        <v>5</v>
      </c>
      <c r="J139" s="54">
        <v>6</v>
      </c>
      <c r="K139" s="54">
        <v>7</v>
      </c>
      <c r="L139" s="54">
        <v>8</v>
      </c>
      <c r="M139" s="54">
        <v>9</v>
      </c>
      <c r="N139" s="54">
        <v>10</v>
      </c>
    </row>
    <row r="140" spans="1:14" ht="18" x14ac:dyDescent="0.25">
      <c r="A140" s="28" t="s">
        <v>30</v>
      </c>
      <c r="B140" s="29" t="s">
        <v>6</v>
      </c>
      <c r="C140" s="31"/>
      <c r="D140" s="31"/>
      <c r="E140" s="31">
        <f>IF(D141&gt;=$C$128/$C$134,$C$128/$C$134,0)</f>
        <v>186900</v>
      </c>
      <c r="F140" s="31">
        <f t="shared" ref="F140:N140" si="26">IF(E141&gt;=$C$128/$C$134,$C$128/$C$134,0)</f>
        <v>186900</v>
      </c>
      <c r="G140" s="31">
        <f t="shared" si="26"/>
        <v>186900</v>
      </c>
      <c r="H140" s="31">
        <f t="shared" si="26"/>
        <v>186900</v>
      </c>
      <c r="I140" s="31">
        <f t="shared" si="26"/>
        <v>186900</v>
      </c>
      <c r="J140" s="31">
        <f t="shared" si="26"/>
        <v>186900</v>
      </c>
      <c r="K140" s="31">
        <f t="shared" si="26"/>
        <v>186900</v>
      </c>
      <c r="L140" s="31">
        <f t="shared" si="26"/>
        <v>186900</v>
      </c>
      <c r="M140" s="31">
        <f t="shared" si="26"/>
        <v>186900</v>
      </c>
      <c r="N140" s="31">
        <f t="shared" si="26"/>
        <v>186900</v>
      </c>
    </row>
    <row r="141" spans="1:14" ht="18" x14ac:dyDescent="0.25">
      <c r="A141" s="28" t="s">
        <v>31</v>
      </c>
      <c r="B141" s="29" t="s">
        <v>5</v>
      </c>
      <c r="C141" s="31"/>
      <c r="D141" s="31">
        <f>$C$128</f>
        <v>1869000</v>
      </c>
      <c r="E141" s="31">
        <f>D141-E140</f>
        <v>1682100</v>
      </c>
      <c r="F141" s="31">
        <f t="shared" ref="F141:N141" si="27">E141-F140</f>
        <v>1495200</v>
      </c>
      <c r="G141" s="31">
        <f t="shared" si="27"/>
        <v>1308300</v>
      </c>
      <c r="H141" s="31">
        <f t="shared" si="27"/>
        <v>1121400</v>
      </c>
      <c r="I141" s="31">
        <f t="shared" si="27"/>
        <v>934500</v>
      </c>
      <c r="J141" s="31">
        <f t="shared" si="27"/>
        <v>747600</v>
      </c>
      <c r="K141" s="31">
        <f t="shared" si="27"/>
        <v>560700</v>
      </c>
      <c r="L141" s="31">
        <f t="shared" si="27"/>
        <v>373800</v>
      </c>
      <c r="M141" s="31">
        <f t="shared" si="27"/>
        <v>186900</v>
      </c>
      <c r="N141" s="31">
        <f t="shared" si="27"/>
        <v>0</v>
      </c>
    </row>
    <row r="142" spans="1:14" ht="15.75" x14ac:dyDescent="0.25">
      <c r="B142" s="29" t="s">
        <v>1</v>
      </c>
      <c r="C142" s="31"/>
      <c r="D142" s="31"/>
      <c r="E142" s="31">
        <f>$C$129</f>
        <v>467250</v>
      </c>
      <c r="F142" s="31">
        <f t="shared" ref="F142:N142" si="28">$C$129</f>
        <v>467250</v>
      </c>
      <c r="G142" s="31">
        <f t="shared" si="28"/>
        <v>467250</v>
      </c>
      <c r="H142" s="31">
        <f t="shared" si="28"/>
        <v>467250</v>
      </c>
      <c r="I142" s="31">
        <f t="shared" si="28"/>
        <v>467250</v>
      </c>
      <c r="J142" s="31">
        <f t="shared" si="28"/>
        <v>467250</v>
      </c>
      <c r="K142" s="31">
        <f t="shared" si="28"/>
        <v>467250</v>
      </c>
      <c r="L142" s="31">
        <f t="shared" si="28"/>
        <v>467250</v>
      </c>
      <c r="M142" s="31">
        <f t="shared" si="28"/>
        <v>467250</v>
      </c>
      <c r="N142" s="31">
        <f t="shared" si="28"/>
        <v>467250</v>
      </c>
    </row>
    <row r="143" spans="1:14" ht="15.75" x14ac:dyDescent="0.25"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</row>
    <row r="144" spans="1:14" ht="15.75" x14ac:dyDescent="0.25">
      <c r="B144" s="26" t="s">
        <v>11</v>
      </c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</row>
    <row r="145" spans="1:14" ht="18" x14ac:dyDescent="0.25">
      <c r="A145" s="28" t="s">
        <v>32</v>
      </c>
      <c r="B145" s="29" t="s">
        <v>18</v>
      </c>
      <c r="C145" s="31"/>
      <c r="D145" s="31"/>
      <c r="E145" s="31">
        <f>(1-$C$131)*E142</f>
        <v>327075</v>
      </c>
      <c r="F145" s="31">
        <f t="shared" ref="F145:N145" si="29">(1-$C$131)*F142</f>
        <v>327075</v>
      </c>
      <c r="G145" s="31">
        <f t="shared" si="29"/>
        <v>327075</v>
      </c>
      <c r="H145" s="31">
        <f t="shared" si="29"/>
        <v>327075</v>
      </c>
      <c r="I145" s="31">
        <f t="shared" si="29"/>
        <v>327075</v>
      </c>
      <c r="J145" s="31">
        <f t="shared" si="29"/>
        <v>327075</v>
      </c>
      <c r="K145" s="31">
        <f t="shared" si="29"/>
        <v>327075</v>
      </c>
      <c r="L145" s="31">
        <f t="shared" si="29"/>
        <v>327075</v>
      </c>
      <c r="M145" s="31">
        <f t="shared" si="29"/>
        <v>327075</v>
      </c>
      <c r="N145" s="31">
        <f t="shared" si="29"/>
        <v>327075</v>
      </c>
    </row>
    <row r="146" spans="1:14" ht="18" x14ac:dyDescent="0.25">
      <c r="A146" s="28" t="s">
        <v>33</v>
      </c>
      <c r="B146" s="29" t="s">
        <v>19</v>
      </c>
      <c r="C146" s="31"/>
      <c r="D146" s="31"/>
      <c r="E146" s="31">
        <f>$C$131*E140</f>
        <v>56070</v>
      </c>
      <c r="F146" s="31">
        <f t="shared" ref="F146:N146" si="30">$C$131*F140</f>
        <v>56070</v>
      </c>
      <c r="G146" s="31">
        <f t="shared" si="30"/>
        <v>56070</v>
      </c>
      <c r="H146" s="31">
        <f t="shared" si="30"/>
        <v>56070</v>
      </c>
      <c r="I146" s="31">
        <f t="shared" si="30"/>
        <v>56070</v>
      </c>
      <c r="J146" s="31">
        <f t="shared" si="30"/>
        <v>56070</v>
      </c>
      <c r="K146" s="31">
        <f t="shared" si="30"/>
        <v>56070</v>
      </c>
      <c r="L146" s="31">
        <f t="shared" si="30"/>
        <v>56070</v>
      </c>
      <c r="M146" s="31">
        <f t="shared" si="30"/>
        <v>56070</v>
      </c>
      <c r="N146" s="31">
        <f t="shared" si="30"/>
        <v>56070</v>
      </c>
    </row>
    <row r="147" spans="1:14" ht="16.5" thickBot="1" x14ac:dyDescent="0.3">
      <c r="B147" s="29" t="s">
        <v>0</v>
      </c>
      <c r="C147" s="57"/>
      <c r="D147" s="39">
        <f>-D141</f>
        <v>-1869000</v>
      </c>
      <c r="E147" s="58"/>
      <c r="F147" s="58"/>
      <c r="G147" s="58"/>
      <c r="H147" s="58"/>
      <c r="I147" s="58"/>
      <c r="J147" s="58"/>
      <c r="K147" s="58"/>
      <c r="L147" s="58"/>
      <c r="M147" s="58"/>
      <c r="N147" s="58"/>
    </row>
    <row r="148" spans="1:14" ht="18.75" thickTop="1" x14ac:dyDescent="0.25">
      <c r="A148" s="59" t="s">
        <v>34</v>
      </c>
      <c r="B148" s="26" t="s">
        <v>12</v>
      </c>
      <c r="D148" s="42">
        <f>D147</f>
        <v>-1869000</v>
      </c>
      <c r="E148" s="31">
        <f>SUM(E145:E146)</f>
        <v>383145</v>
      </c>
      <c r="F148" s="31">
        <f>SUM(F145:F146)</f>
        <v>383145</v>
      </c>
      <c r="G148" s="31">
        <f t="shared" ref="G148:N148" si="31">SUM(G145:G146)</f>
        <v>383145</v>
      </c>
      <c r="H148" s="31">
        <f t="shared" si="31"/>
        <v>383145</v>
      </c>
      <c r="I148" s="31">
        <f t="shared" si="31"/>
        <v>383145</v>
      </c>
      <c r="J148" s="31">
        <f t="shared" si="31"/>
        <v>383145</v>
      </c>
      <c r="K148" s="31">
        <f t="shared" si="31"/>
        <v>383145</v>
      </c>
      <c r="L148" s="31">
        <f t="shared" si="31"/>
        <v>383145</v>
      </c>
      <c r="M148" s="31">
        <f>SUM(M145:M146)</f>
        <v>383145</v>
      </c>
      <c r="N148" s="31">
        <f t="shared" si="31"/>
        <v>383145</v>
      </c>
    </row>
    <row r="150" spans="1:14" ht="18" x14ac:dyDescent="0.25">
      <c r="C150" s="59" t="s">
        <v>40</v>
      </c>
      <c r="D150" s="45" t="s">
        <v>39</v>
      </c>
      <c r="E150" s="31">
        <f>NPV(0.1,D148:N148)</f>
        <v>441145.60337747232</v>
      </c>
      <c r="F150" s="7"/>
      <c r="G150" s="61"/>
      <c r="H150" s="7"/>
    </row>
  </sheetData>
  <mergeCells count="6">
    <mergeCell ref="B127:C127"/>
    <mergeCell ref="B4:C4"/>
    <mergeCell ref="B31:C31"/>
    <mergeCell ref="B56:C56"/>
    <mergeCell ref="B78:C78"/>
    <mergeCell ref="B103:C103"/>
  </mergeCell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A4" sqref="A4"/>
    </sheetView>
  </sheetViews>
  <sheetFormatPr baseColWidth="10" defaultRowHeight="15" x14ac:dyDescent="0.25"/>
  <sheetData>
    <row r="1" spans="1:1" x14ac:dyDescent="0.25">
      <c r="A1">
        <v>1000</v>
      </c>
    </row>
    <row r="2" spans="1:1" x14ac:dyDescent="0.25">
      <c r="A2">
        <v>200</v>
      </c>
    </row>
    <row r="3" spans="1:1" x14ac:dyDescent="0.25">
      <c r="A3">
        <f>A1-A2</f>
        <v>800</v>
      </c>
    </row>
    <row r="4" spans="1:1" x14ac:dyDescent="0.25">
      <c r="A4">
        <v>100</v>
      </c>
    </row>
    <row r="5" spans="1:1" x14ac:dyDescent="0.25">
      <c r="A5">
        <f>A3-A4</f>
        <v>700</v>
      </c>
    </row>
    <row r="6" spans="1:1" x14ac:dyDescent="0.25">
      <c r="A6">
        <f>A5*0.3</f>
        <v>210</v>
      </c>
    </row>
    <row r="7" spans="1:1" x14ac:dyDescent="0.25">
      <c r="A7">
        <f>A5-A6</f>
        <v>490</v>
      </c>
    </row>
    <row r="10" spans="1:1" x14ac:dyDescent="0.25">
      <c r="A10">
        <f>21435*0.4</f>
        <v>8574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11.39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 CHAUCA</dc:creator>
  <cp:lastModifiedBy>Hernan Chauca</cp:lastModifiedBy>
  <dcterms:created xsi:type="dcterms:W3CDTF">2017-07-26T22:10:10Z</dcterms:created>
  <dcterms:modified xsi:type="dcterms:W3CDTF">2017-10-20T17:21:07Z</dcterms:modified>
</cp:coreProperties>
</file>