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K:\EJERCICIOS LIBRO PROYECTOS BORRADOR\ALTERNATIVAS DE FINANCIAMIENTO 9.51\"/>
    </mc:Choice>
  </mc:AlternateContent>
  <bookViews>
    <workbookView xWindow="0" yWindow="0" windowWidth="20490" windowHeight="765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7" i="1" l="1"/>
  <c r="C94" i="1"/>
  <c r="I45" i="1"/>
  <c r="D45" i="1"/>
  <c r="I39" i="1"/>
  <c r="I38" i="1"/>
  <c r="M107" i="1" l="1"/>
  <c r="M104" i="1"/>
  <c r="M105" i="1" s="1"/>
  <c r="N95" i="1"/>
  <c r="N93" i="1"/>
  <c r="L93" i="1"/>
  <c r="C88" i="1" s="1"/>
  <c r="C91" i="1" s="1"/>
  <c r="C92" i="1" l="1"/>
  <c r="C98" i="1" s="1"/>
  <c r="C102" i="1" s="1"/>
  <c r="D88" i="1"/>
  <c r="H88" i="1"/>
  <c r="G88" i="1"/>
  <c r="F88" i="1"/>
  <c r="E88" i="1"/>
  <c r="C100" i="1"/>
  <c r="I87" i="1"/>
  <c r="H87" i="1"/>
  <c r="G87" i="1"/>
  <c r="F87" i="1"/>
  <c r="E87" i="1"/>
  <c r="D87" i="1"/>
  <c r="I85" i="1"/>
  <c r="H85" i="1"/>
  <c r="G85" i="1"/>
  <c r="F85" i="1"/>
  <c r="E85" i="1"/>
  <c r="D85" i="1"/>
  <c r="D84" i="1"/>
  <c r="E84" i="1" s="1"/>
  <c r="I91" i="1" l="1"/>
  <c r="D91" i="1"/>
  <c r="D92" i="1" s="1"/>
  <c r="E91" i="1"/>
  <c r="F84" i="1"/>
  <c r="I70" i="1"/>
  <c r="L56" i="1"/>
  <c r="M67" i="1"/>
  <c r="E11" i="1"/>
  <c r="I40" i="1"/>
  <c r="D21" i="1"/>
  <c r="D94" i="1" l="1"/>
  <c r="E92" i="1"/>
  <c r="E94" i="1" s="1"/>
  <c r="E98" i="1" s="1"/>
  <c r="E102" i="1" s="1"/>
  <c r="G84" i="1"/>
  <c r="F91" i="1"/>
  <c r="C12" i="1"/>
  <c r="C14" i="1" s="1"/>
  <c r="D24" i="1" s="1"/>
  <c r="D35" i="1" s="1"/>
  <c r="I71" i="1" l="1"/>
  <c r="D98" i="1"/>
  <c r="D102" i="1" s="1"/>
  <c r="F92" i="1"/>
  <c r="F94" i="1" s="1"/>
  <c r="F98" i="1" s="1"/>
  <c r="F102" i="1" s="1"/>
  <c r="H84" i="1"/>
  <c r="G91" i="1"/>
  <c r="C72" i="1"/>
  <c r="I100" i="1" s="1"/>
  <c r="G92" i="1" l="1"/>
  <c r="G94" i="1" s="1"/>
  <c r="G98" i="1" s="1"/>
  <c r="G102" i="1" s="1"/>
  <c r="H91" i="1"/>
  <c r="I84" i="1"/>
  <c r="C69" i="1"/>
  <c r="C74" i="1" s="1"/>
  <c r="H92" i="1" l="1"/>
  <c r="H94" i="1" s="1"/>
  <c r="H98" i="1" s="1"/>
  <c r="H102" i="1" s="1"/>
  <c r="D56" i="1"/>
  <c r="I92" i="1" l="1"/>
  <c r="I94" i="1" s="1"/>
  <c r="I72" i="1"/>
  <c r="C40" i="1"/>
  <c r="C37" i="1"/>
  <c r="C45" i="1" s="1"/>
  <c r="I56" i="1"/>
  <c r="I67" i="1" s="1"/>
  <c r="H56" i="1"/>
  <c r="H67" i="1" s="1"/>
  <c r="G56" i="1"/>
  <c r="G67" i="1" s="1"/>
  <c r="F56" i="1"/>
  <c r="F67" i="1" s="1"/>
  <c r="E56" i="1"/>
  <c r="D67" i="1"/>
  <c r="I55" i="1"/>
  <c r="H55" i="1"/>
  <c r="G55" i="1"/>
  <c r="F55" i="1"/>
  <c r="E55" i="1"/>
  <c r="D55" i="1"/>
  <c r="I53" i="1"/>
  <c r="H53" i="1"/>
  <c r="G53" i="1"/>
  <c r="F53" i="1"/>
  <c r="E53" i="1"/>
  <c r="D53" i="1"/>
  <c r="D52" i="1"/>
  <c r="E52" i="1" s="1"/>
  <c r="E24" i="1"/>
  <c r="E35" i="1" s="1"/>
  <c r="F24" i="1"/>
  <c r="F35" i="1" s="1"/>
  <c r="G24" i="1"/>
  <c r="H24" i="1"/>
  <c r="I24" i="1"/>
  <c r="I35" i="1" s="1"/>
  <c r="E23" i="1"/>
  <c r="F23" i="1"/>
  <c r="G23" i="1"/>
  <c r="H23" i="1"/>
  <c r="I23" i="1"/>
  <c r="D23" i="1"/>
  <c r="D27" i="1" s="1"/>
  <c r="D28" i="1" s="1"/>
  <c r="D30" i="1" s="1"/>
  <c r="D34" i="1" s="1"/>
  <c r="E21" i="1"/>
  <c r="F21" i="1"/>
  <c r="G21" i="1"/>
  <c r="H21" i="1"/>
  <c r="I21" i="1"/>
  <c r="I27" i="1" s="1"/>
  <c r="I28" i="1" s="1"/>
  <c r="E20" i="1"/>
  <c r="F20" i="1" s="1"/>
  <c r="G20" i="1" s="1"/>
  <c r="H20" i="1" s="1"/>
  <c r="I20" i="1" s="1"/>
  <c r="D20" i="1"/>
  <c r="I98" i="1" l="1"/>
  <c r="I102" i="1" s="1"/>
  <c r="C104" i="1" s="1"/>
  <c r="E27" i="1"/>
  <c r="F52" i="1"/>
  <c r="C77" i="1"/>
  <c r="F27" i="1"/>
  <c r="F28" i="1" s="1"/>
  <c r="F30" i="1" s="1"/>
  <c r="F34" i="1" s="1"/>
  <c r="F45" i="1" s="1"/>
  <c r="H27" i="1"/>
  <c r="H28" i="1" s="1"/>
  <c r="H30" i="1" s="1"/>
  <c r="H34" i="1" s="1"/>
  <c r="G27" i="1"/>
  <c r="G28" i="1" s="1"/>
  <c r="H35" i="1"/>
  <c r="G35" i="1"/>
  <c r="E67" i="1"/>
  <c r="I30" i="1"/>
  <c r="I34" i="1" s="1"/>
  <c r="E28" i="1" l="1"/>
  <c r="E30" i="1" s="1"/>
  <c r="E34" i="1" s="1"/>
  <c r="E45" i="1" s="1"/>
  <c r="G52" i="1"/>
  <c r="H45" i="1"/>
  <c r="G30" i="1"/>
  <c r="G34" i="1" s="1"/>
  <c r="G45" i="1" s="1"/>
  <c r="C47" i="1" l="1"/>
  <c r="H52" i="1"/>
  <c r="I52" i="1" l="1"/>
  <c r="H57" i="1" s="1"/>
  <c r="H59" i="1" s="1"/>
  <c r="H60" i="1" s="1"/>
  <c r="H62" i="1" s="1"/>
  <c r="H66" i="1" s="1"/>
  <c r="H75" i="1" l="1"/>
  <c r="H77" i="1"/>
  <c r="I75" i="1"/>
  <c r="D75" i="1"/>
  <c r="D57" i="1"/>
  <c r="D59" i="1" s="1"/>
  <c r="E75" i="1"/>
  <c r="F75" i="1"/>
  <c r="G75" i="1"/>
  <c r="I57" i="1"/>
  <c r="I59" i="1" s="1"/>
  <c r="I60" i="1" s="1"/>
  <c r="I62" i="1" s="1"/>
  <c r="I66" i="1" s="1"/>
  <c r="E57" i="1"/>
  <c r="E59" i="1" s="1"/>
  <c r="E60" i="1" s="1"/>
  <c r="E62" i="1" s="1"/>
  <c r="E66" i="1" s="1"/>
  <c r="F57" i="1"/>
  <c r="F59" i="1" s="1"/>
  <c r="F60" i="1" s="1"/>
  <c r="F62" i="1" s="1"/>
  <c r="F66" i="1" s="1"/>
  <c r="G57" i="1"/>
  <c r="G59" i="1" s="1"/>
  <c r="G60" i="1" s="1"/>
  <c r="G62" i="1" s="1"/>
  <c r="G66" i="1" s="1"/>
  <c r="I77" i="1" l="1"/>
  <c r="K74" i="1"/>
  <c r="F77" i="1"/>
  <c r="D60" i="1"/>
  <c r="D62" i="1" s="1"/>
  <c r="D66" i="1" s="1"/>
  <c r="C79" i="1" s="1"/>
  <c r="G77" i="1"/>
  <c r="E77" i="1"/>
</calcChain>
</file>

<file path=xl/sharedStrings.xml><?xml version="1.0" encoding="utf-8"?>
<sst xmlns="http://schemas.openxmlformats.org/spreadsheetml/2006/main" count="84" uniqueCount="45">
  <si>
    <t>Ahorros</t>
  </si>
  <si>
    <t>Mano de obra</t>
  </si>
  <si>
    <t>Reducción de material</t>
  </si>
  <si>
    <t>Otros beneficios</t>
  </si>
  <si>
    <t>Costos</t>
  </si>
  <si>
    <t>Costos de O&amp;M</t>
  </si>
  <si>
    <t>Costo de equipo</t>
  </si>
  <si>
    <t>Valor de rescate</t>
  </si>
  <si>
    <t>Vida de proyecto</t>
  </si>
  <si>
    <t>Depreciación</t>
  </si>
  <si>
    <t>Inversión de capital de trabajo</t>
  </si>
  <si>
    <t>Tasa marginal de impuesto</t>
  </si>
  <si>
    <t>Preparación del equipo</t>
  </si>
  <si>
    <t>Gastos</t>
  </si>
  <si>
    <t>Interés de deuda</t>
  </si>
  <si>
    <t>Ingresos gravables</t>
  </si>
  <si>
    <t>Impuestos sobre la renta</t>
  </si>
  <si>
    <t>Ingreso neto</t>
  </si>
  <si>
    <t>Estado de flujo de efectivo</t>
  </si>
  <si>
    <t>Ingresos neto</t>
  </si>
  <si>
    <t>Inversión</t>
  </si>
  <si>
    <t>Impuesto sobre las ganancias</t>
  </si>
  <si>
    <t>Capital de trabajo</t>
  </si>
  <si>
    <t>Fondos prestados</t>
  </si>
  <si>
    <t>Reparamiento</t>
  </si>
  <si>
    <t>Actividades operativas:</t>
  </si>
  <si>
    <t>Actividades de inversión:</t>
  </si>
  <si>
    <t>Actividades financieras:</t>
  </si>
  <si>
    <t>Flujo Neto</t>
  </si>
  <si>
    <t>Valor de mercado</t>
  </si>
  <si>
    <t>VAN</t>
  </si>
  <si>
    <t>Gastos indirectos</t>
  </si>
  <si>
    <t>Costo de oportunidad</t>
  </si>
  <si>
    <t>agregar redaccion</t>
  </si>
  <si>
    <t>notas</t>
  </si>
  <si>
    <t xml:space="preserve">el capital de trabajo se recupera al 100% </t>
  </si>
  <si>
    <t>ganancia de capital</t>
  </si>
  <si>
    <t>A/P</t>
  </si>
  <si>
    <t>Amortización de principal</t>
  </si>
  <si>
    <t>Opción 1: Autofinanciamiento del sistema requerido con las utilidades retenidas</t>
  </si>
  <si>
    <t>Opción 2: Conseguir un préstamo al 12% durante los seis años, pagos en cuotas iguales por el método frances</t>
  </si>
  <si>
    <t>Opción 3: Leasing financiero</t>
  </si>
  <si>
    <t>Tasa</t>
  </si>
  <si>
    <t>Nro de periodos</t>
  </si>
  <si>
    <t>Cuota de leasing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</si>
</sst>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8" formatCode="&quot;S/.&quot;\ #,##0.00;[Red]&quot;S/.&quot;\ \-#,##0.00"/>
    <numFmt numFmtId="164" formatCode="&quot;S/.&quot;#,##0;[Red]\-&quot;S/.&quot;#,##0"/>
    <numFmt numFmtId="165" formatCode="[$$-409]#,##0_ ;[Red]\-[$$-409]#,##0\ "/>
    <numFmt numFmtId="166" formatCode="[$$-409]#,##0"/>
    <numFmt numFmtId="167" formatCode="[$$-409]#,##0.00_ ;[Red]\-[$$-409]#,##0.00\ "/>
    <numFmt numFmtId="168" formatCode="&quot;S/.&quot;\ #,##0.0000;[Red]&quot;S/.&quot;\ \-#,##0.0000"/>
  </numFmts>
  <fonts count="4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3" xfId="0" applyFont="1" applyBorder="1" applyAlignment="1">
      <alignment horizontal="center"/>
    </xf>
    <xf numFmtId="0" fontId="2" fillId="0" borderId="4" xfId="0" applyFont="1" applyBorder="1"/>
    <xf numFmtId="0" fontId="3" fillId="0" borderId="0" xfId="0" applyFont="1"/>
    <xf numFmtId="0" fontId="2" fillId="0" borderId="1" xfId="0" applyFont="1" applyBorder="1" applyAlignment="1">
      <alignment horizontal="right"/>
    </xf>
    <xf numFmtId="0" fontId="2" fillId="0" borderId="1" xfId="0" applyFont="1" applyBorder="1"/>
    <xf numFmtId="0" fontId="2" fillId="0" borderId="5" xfId="0" applyFont="1" applyBorder="1" applyAlignment="1">
      <alignment horizontal="right"/>
    </xf>
    <xf numFmtId="0" fontId="1" fillId="0" borderId="6" xfId="0" applyFont="1" applyBorder="1" applyAlignment="1">
      <alignment horizontal="center"/>
    </xf>
    <xf numFmtId="0" fontId="2" fillId="0" borderId="2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3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164" fontId="3" fillId="0" borderId="0" xfId="0" applyNumberFormat="1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3" borderId="0" xfId="0" applyFont="1" applyFill="1"/>
    <xf numFmtId="9" fontId="0" fillId="0" borderId="1" xfId="0" applyNumberFormat="1" applyFont="1" applyBorder="1"/>
    <xf numFmtId="165" fontId="3" fillId="0" borderId="0" xfId="0" applyNumberFormat="1" applyFont="1"/>
    <xf numFmtId="166" fontId="0" fillId="0" borderId="1" xfId="0" applyNumberFormat="1" applyFont="1" applyBorder="1"/>
    <xf numFmtId="166" fontId="0" fillId="0" borderId="5" xfId="0" applyNumberFormat="1" applyFont="1" applyBorder="1"/>
    <xf numFmtId="166" fontId="0" fillId="0" borderId="7" xfId="0" applyNumberFormat="1" applyFont="1" applyBorder="1"/>
    <xf numFmtId="166" fontId="0" fillId="0" borderId="2" xfId="0" applyNumberFormat="1" applyFont="1" applyBorder="1"/>
    <xf numFmtId="167" fontId="3" fillId="0" borderId="0" xfId="0" applyNumberFormat="1" applyFont="1"/>
    <xf numFmtId="166" fontId="3" fillId="0" borderId="0" xfId="0" applyNumberFormat="1" applyFont="1"/>
    <xf numFmtId="0" fontId="0" fillId="0" borderId="0" xfId="0" applyFont="1"/>
    <xf numFmtId="0" fontId="0" fillId="2" borderId="0" xfId="0" applyFont="1" applyFill="1"/>
    <xf numFmtId="8" fontId="3" fillId="0" borderId="0" xfId="0" applyNumberFormat="1" applyFont="1"/>
    <xf numFmtId="168" fontId="3" fillId="0" borderId="0" xfId="0" applyNumberFormat="1" applyFont="1"/>
    <xf numFmtId="9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R107"/>
  <sheetViews>
    <sheetView tabSelected="1" topLeftCell="A67" workbookViewId="0">
      <selection activeCell="O75" sqref="O75"/>
    </sheetView>
  </sheetViews>
  <sheetFormatPr baseColWidth="10" defaultRowHeight="15" x14ac:dyDescent="0.25"/>
  <cols>
    <col min="1" max="1" width="11.42578125" style="3"/>
    <col min="2" max="2" width="28.85546875" style="3" bestFit="1" customWidth="1"/>
    <col min="3" max="3" width="13.140625" style="3" bestFit="1" customWidth="1"/>
    <col min="4" max="8" width="12" style="3" bestFit="1" customWidth="1"/>
    <col min="9" max="9" width="9.7109375" style="3" bestFit="1" customWidth="1"/>
    <col min="10" max="11" width="11.42578125" style="3"/>
    <col min="12" max="12" width="17.85546875" style="3" customWidth="1"/>
    <col min="13" max="13" width="13" style="3" bestFit="1" customWidth="1"/>
    <col min="14" max="16384" width="11.42578125" style="3"/>
  </cols>
  <sheetData>
    <row r="3" spans="2:5" x14ac:dyDescent="0.25">
      <c r="B3" s="1" t="s">
        <v>0</v>
      </c>
      <c r="C3" s="2"/>
    </row>
    <row r="4" spans="2:5" x14ac:dyDescent="0.25">
      <c r="B4" s="4" t="s">
        <v>1</v>
      </c>
      <c r="C4" s="19">
        <v>38800</v>
      </c>
    </row>
    <row r="5" spans="2:5" x14ac:dyDescent="0.25">
      <c r="B5" s="4" t="s">
        <v>2</v>
      </c>
      <c r="C5" s="19">
        <v>15000</v>
      </c>
    </row>
    <row r="6" spans="2:5" x14ac:dyDescent="0.25">
      <c r="B6" s="4" t="s">
        <v>3</v>
      </c>
      <c r="C6" s="19">
        <v>7000</v>
      </c>
    </row>
    <row r="7" spans="2:5" x14ac:dyDescent="0.25">
      <c r="B7" s="6" t="s">
        <v>31</v>
      </c>
      <c r="C7" s="20">
        <v>9000</v>
      </c>
    </row>
    <row r="8" spans="2:5" x14ac:dyDescent="0.25">
      <c r="B8" s="7" t="s">
        <v>4</v>
      </c>
      <c r="C8" s="21"/>
    </row>
    <row r="9" spans="2:5" x14ac:dyDescent="0.25">
      <c r="B9" s="8" t="s">
        <v>5</v>
      </c>
      <c r="C9" s="22">
        <v>9000</v>
      </c>
    </row>
    <row r="10" spans="2:5" x14ac:dyDescent="0.25">
      <c r="B10" s="4" t="s">
        <v>6</v>
      </c>
      <c r="C10" s="19">
        <v>44300</v>
      </c>
    </row>
    <row r="11" spans="2:5" x14ac:dyDescent="0.25">
      <c r="B11" s="4" t="s">
        <v>12</v>
      </c>
      <c r="C11" s="19">
        <v>19800</v>
      </c>
      <c r="E11" s="24">
        <f>C10+C11</f>
        <v>64100</v>
      </c>
    </row>
    <row r="12" spans="2:5" x14ac:dyDescent="0.25">
      <c r="B12" s="9" t="s">
        <v>7</v>
      </c>
      <c r="C12" s="19">
        <f>0.1*(SUM(C10:C11))</f>
        <v>6410</v>
      </c>
    </row>
    <row r="13" spans="2:5" x14ac:dyDescent="0.25">
      <c r="B13" s="9" t="s">
        <v>8</v>
      </c>
      <c r="C13" s="19">
        <v>6</v>
      </c>
    </row>
    <row r="14" spans="2:5" x14ac:dyDescent="0.25">
      <c r="B14" s="9" t="s">
        <v>9</v>
      </c>
      <c r="C14" s="19">
        <f>(SUM(C10:C11)-C12)/C13</f>
        <v>9615</v>
      </c>
    </row>
    <row r="15" spans="2:5" x14ac:dyDescent="0.25">
      <c r="B15" s="9" t="s">
        <v>10</v>
      </c>
      <c r="C15" s="19">
        <v>10000</v>
      </c>
    </row>
    <row r="16" spans="2:5" x14ac:dyDescent="0.25">
      <c r="B16" s="9" t="s">
        <v>11</v>
      </c>
      <c r="C16" s="17">
        <v>0.3</v>
      </c>
    </row>
    <row r="17" spans="2:12" x14ac:dyDescent="0.25">
      <c r="B17" s="9" t="s">
        <v>32</v>
      </c>
      <c r="C17" s="17">
        <v>0.14000000000000001</v>
      </c>
    </row>
    <row r="18" spans="2:12" x14ac:dyDescent="0.25">
      <c r="B18" s="5" t="s">
        <v>29</v>
      </c>
      <c r="C18" s="19">
        <v>20000</v>
      </c>
      <c r="D18" s="25" t="s">
        <v>33</v>
      </c>
    </row>
    <row r="20" spans="2:12" x14ac:dyDescent="0.25">
      <c r="C20" s="10">
        <v>0</v>
      </c>
      <c r="D20" s="10">
        <f>IF(C20&lt;$C$13,C20+1,"Nul")</f>
        <v>1</v>
      </c>
      <c r="E20" s="10">
        <f t="shared" ref="E20:I20" si="0">IF(D20&lt;$C$13,D20+1,"Nul")</f>
        <v>2</v>
      </c>
      <c r="F20" s="10">
        <f t="shared" si="0"/>
        <v>3</v>
      </c>
      <c r="G20" s="10">
        <f t="shared" si="0"/>
        <v>4</v>
      </c>
      <c r="H20" s="10">
        <f t="shared" si="0"/>
        <v>5</v>
      </c>
      <c r="I20" s="10">
        <f t="shared" si="0"/>
        <v>6</v>
      </c>
      <c r="L20" s="25" t="s">
        <v>39</v>
      </c>
    </row>
    <row r="21" spans="2:12" x14ac:dyDescent="0.25">
      <c r="B21" s="11" t="s">
        <v>0</v>
      </c>
      <c r="C21" s="12"/>
      <c r="D21" s="18">
        <f>SUM($C$4:$C$7)</f>
        <v>69800</v>
      </c>
      <c r="E21" s="18">
        <f t="shared" ref="E21:I21" si="1">SUM($C$4:$C$7)</f>
        <v>69800</v>
      </c>
      <c r="F21" s="18">
        <f t="shared" si="1"/>
        <v>69800</v>
      </c>
      <c r="G21" s="18">
        <f t="shared" si="1"/>
        <v>69800</v>
      </c>
      <c r="H21" s="18">
        <f t="shared" si="1"/>
        <v>69800</v>
      </c>
      <c r="I21" s="18">
        <f t="shared" si="1"/>
        <v>69800</v>
      </c>
    </row>
    <row r="22" spans="2:12" ht="8.25" customHeight="1" x14ac:dyDescent="0.25">
      <c r="B22" s="11" t="s">
        <v>13</v>
      </c>
      <c r="C22" s="12"/>
      <c r="D22" s="18"/>
      <c r="E22" s="18"/>
      <c r="F22" s="18"/>
      <c r="G22" s="18"/>
      <c r="H22" s="18"/>
      <c r="I22" s="18"/>
    </row>
    <row r="23" spans="2:12" x14ac:dyDescent="0.25">
      <c r="B23" s="13" t="s">
        <v>5</v>
      </c>
      <c r="C23" s="12"/>
      <c r="D23" s="18">
        <f>$C$9</f>
        <v>9000</v>
      </c>
      <c r="E23" s="18">
        <f t="shared" ref="E23:I23" si="2">$C$9</f>
        <v>9000</v>
      </c>
      <c r="F23" s="18">
        <f t="shared" si="2"/>
        <v>9000</v>
      </c>
      <c r="G23" s="18">
        <f t="shared" si="2"/>
        <v>9000</v>
      </c>
      <c r="H23" s="18">
        <f t="shared" si="2"/>
        <v>9000</v>
      </c>
      <c r="I23" s="18">
        <f t="shared" si="2"/>
        <v>9000</v>
      </c>
    </row>
    <row r="24" spans="2:12" x14ac:dyDescent="0.25">
      <c r="B24" s="13" t="s">
        <v>9</v>
      </c>
      <c r="C24" s="12"/>
      <c r="D24" s="18">
        <f>$C$14</f>
        <v>9615</v>
      </c>
      <c r="E24" s="18">
        <f t="shared" ref="E24:I24" si="3">$C$14</f>
        <v>9615</v>
      </c>
      <c r="F24" s="18">
        <f t="shared" si="3"/>
        <v>9615</v>
      </c>
      <c r="G24" s="18">
        <f t="shared" si="3"/>
        <v>9615</v>
      </c>
      <c r="H24" s="18">
        <f t="shared" si="3"/>
        <v>9615</v>
      </c>
      <c r="I24" s="18">
        <f t="shared" si="3"/>
        <v>9615</v>
      </c>
    </row>
    <row r="25" spans="2:12" x14ac:dyDescent="0.25">
      <c r="B25" s="14" t="s">
        <v>14</v>
      </c>
      <c r="C25" s="12"/>
      <c r="D25" s="12"/>
      <c r="E25" s="12"/>
      <c r="F25" s="12"/>
      <c r="G25" s="12"/>
      <c r="H25" s="12"/>
      <c r="I25" s="12"/>
    </row>
    <row r="26" spans="2:12" ht="1.5" customHeight="1" x14ac:dyDescent="0.25">
      <c r="B26" s="15"/>
      <c r="C26" s="16"/>
      <c r="D26" s="16"/>
      <c r="E26" s="16"/>
      <c r="F26" s="16"/>
      <c r="G26" s="16"/>
      <c r="H26" s="16"/>
      <c r="I26" s="16"/>
    </row>
    <row r="27" spans="2:12" x14ac:dyDescent="0.25">
      <c r="B27" s="11" t="s">
        <v>15</v>
      </c>
      <c r="C27" s="12"/>
      <c r="D27" s="18">
        <f>D21-D23-D24</f>
        <v>51185</v>
      </c>
      <c r="E27" s="18">
        <f t="shared" ref="E27:I27" si="4">E21-E23-E24</f>
        <v>51185</v>
      </c>
      <c r="F27" s="18">
        <f t="shared" si="4"/>
        <v>51185</v>
      </c>
      <c r="G27" s="18">
        <f t="shared" si="4"/>
        <v>51185</v>
      </c>
      <c r="H27" s="18">
        <f t="shared" si="4"/>
        <v>51185</v>
      </c>
      <c r="I27" s="18">
        <f t="shared" si="4"/>
        <v>51185</v>
      </c>
      <c r="J27" s="12"/>
    </row>
    <row r="28" spans="2:12" x14ac:dyDescent="0.25">
      <c r="B28" s="11" t="s">
        <v>16</v>
      </c>
      <c r="C28" s="12"/>
      <c r="D28" s="23">
        <f>D27*$C$16</f>
        <v>15355.5</v>
      </c>
      <c r="E28" s="23">
        <f>E27*$C$16</f>
        <v>15355.5</v>
      </c>
      <c r="F28" s="18">
        <f t="shared" ref="F28:I28" si="5">F27*$C$16</f>
        <v>15355.5</v>
      </c>
      <c r="G28" s="18">
        <f t="shared" si="5"/>
        <v>15355.5</v>
      </c>
      <c r="H28" s="18">
        <f t="shared" si="5"/>
        <v>15355.5</v>
      </c>
      <c r="I28" s="18">
        <f t="shared" si="5"/>
        <v>15355.5</v>
      </c>
      <c r="J28" s="12"/>
    </row>
    <row r="29" spans="2:12" ht="0.75" customHeight="1" x14ac:dyDescent="0.25">
      <c r="B29" s="14"/>
      <c r="C29" s="16"/>
      <c r="D29" s="16"/>
      <c r="E29" s="16"/>
      <c r="F29" s="16"/>
      <c r="G29" s="16"/>
      <c r="H29" s="16"/>
      <c r="I29" s="16"/>
    </row>
    <row r="30" spans="2:12" x14ac:dyDescent="0.25">
      <c r="B30" s="11" t="s">
        <v>17</v>
      </c>
      <c r="C30" s="12"/>
      <c r="D30" s="18">
        <f>D27-D28</f>
        <v>35829.5</v>
      </c>
      <c r="E30" s="18">
        <f>E27-E28</f>
        <v>35829.5</v>
      </c>
      <c r="F30" s="18">
        <f t="shared" ref="F30:I30" si="6">F27-F28</f>
        <v>35829.5</v>
      </c>
      <c r="G30" s="18">
        <f t="shared" si="6"/>
        <v>35829.5</v>
      </c>
      <c r="H30" s="18">
        <f t="shared" si="6"/>
        <v>35829.5</v>
      </c>
      <c r="I30" s="18">
        <f t="shared" si="6"/>
        <v>35829.5</v>
      </c>
    </row>
    <row r="31" spans="2:12" ht="13.5" customHeight="1" x14ac:dyDescent="0.25">
      <c r="B31" s="14"/>
      <c r="C31" s="12"/>
      <c r="D31" s="18"/>
      <c r="E31" s="18"/>
      <c r="F31" s="18"/>
      <c r="G31" s="18"/>
      <c r="H31" s="18"/>
      <c r="I31" s="18"/>
    </row>
    <row r="32" spans="2:12" x14ac:dyDescent="0.25">
      <c r="B32" s="11" t="s">
        <v>18</v>
      </c>
      <c r="C32" s="12"/>
      <c r="D32" s="18"/>
      <c r="E32" s="18"/>
      <c r="F32" s="18"/>
      <c r="G32" s="18"/>
      <c r="H32" s="18"/>
      <c r="I32" s="18"/>
    </row>
    <row r="33" spans="2:10" x14ac:dyDescent="0.25">
      <c r="B33" s="11" t="s">
        <v>25</v>
      </c>
      <c r="C33" s="12"/>
      <c r="D33" s="18"/>
      <c r="E33" s="18"/>
      <c r="F33" s="18"/>
      <c r="G33" s="18"/>
      <c r="H33" s="18"/>
      <c r="I33" s="18"/>
    </row>
    <row r="34" spans="2:10" x14ac:dyDescent="0.25">
      <c r="B34" s="11" t="s">
        <v>19</v>
      </c>
      <c r="C34" s="12"/>
      <c r="D34" s="18">
        <f>D30</f>
        <v>35829.5</v>
      </c>
      <c r="E34" s="18">
        <f t="shared" ref="E34:I34" si="7">E30</f>
        <v>35829.5</v>
      </c>
      <c r="F34" s="18">
        <f t="shared" si="7"/>
        <v>35829.5</v>
      </c>
      <c r="G34" s="18">
        <f t="shared" si="7"/>
        <v>35829.5</v>
      </c>
      <c r="H34" s="18">
        <f t="shared" si="7"/>
        <v>35829.5</v>
      </c>
      <c r="I34" s="18">
        <f t="shared" si="7"/>
        <v>35829.5</v>
      </c>
    </row>
    <row r="35" spans="2:10" x14ac:dyDescent="0.25">
      <c r="B35" s="11" t="s">
        <v>9</v>
      </c>
      <c r="C35" s="12"/>
      <c r="D35" s="18">
        <f>D24</f>
        <v>9615</v>
      </c>
      <c r="E35" s="18">
        <f t="shared" ref="E35:I35" si="8">E24</f>
        <v>9615</v>
      </c>
      <c r="F35" s="18">
        <f t="shared" si="8"/>
        <v>9615</v>
      </c>
      <c r="G35" s="18">
        <f t="shared" si="8"/>
        <v>9615</v>
      </c>
      <c r="H35" s="18">
        <f t="shared" si="8"/>
        <v>9615</v>
      </c>
      <c r="I35" s="18">
        <f t="shared" si="8"/>
        <v>9615</v>
      </c>
    </row>
    <row r="36" spans="2:10" x14ac:dyDescent="0.25">
      <c r="B36" s="11" t="s">
        <v>26</v>
      </c>
      <c r="C36" s="12"/>
      <c r="D36" s="18"/>
      <c r="E36" s="18"/>
      <c r="F36" s="18"/>
      <c r="G36" s="18"/>
      <c r="H36" s="18"/>
      <c r="I36" s="18"/>
    </row>
    <row r="37" spans="2:10" x14ac:dyDescent="0.25">
      <c r="B37" s="13" t="s">
        <v>20</v>
      </c>
      <c r="C37" s="18">
        <f>-(SUM($C$11,$C$10))</f>
        <v>-64100</v>
      </c>
      <c r="D37" s="18"/>
      <c r="E37" s="18"/>
      <c r="F37" s="18"/>
      <c r="G37" s="18"/>
      <c r="H37" s="18"/>
      <c r="I37" s="18"/>
    </row>
    <row r="38" spans="2:10" x14ac:dyDescent="0.25">
      <c r="B38" s="13" t="s">
        <v>7</v>
      </c>
      <c r="C38" s="18"/>
      <c r="D38" s="18"/>
      <c r="E38" s="18"/>
      <c r="F38" s="18"/>
      <c r="G38" s="18"/>
      <c r="H38" s="18"/>
      <c r="I38" s="18">
        <f>C18</f>
        <v>20000</v>
      </c>
    </row>
    <row r="39" spans="2:10" x14ac:dyDescent="0.25">
      <c r="B39" s="13" t="s">
        <v>21</v>
      </c>
      <c r="C39" s="18"/>
      <c r="D39" s="18"/>
      <c r="E39" s="18"/>
      <c r="F39" s="18"/>
      <c r="G39" s="18"/>
      <c r="H39" s="18"/>
      <c r="I39" s="18">
        <f>-(I38-C12)*C16</f>
        <v>-4077</v>
      </c>
    </row>
    <row r="40" spans="2:10" x14ac:dyDescent="0.25">
      <c r="B40" s="13" t="s">
        <v>22</v>
      </c>
      <c r="C40" s="18">
        <f>-$C$15</f>
        <v>-10000</v>
      </c>
      <c r="D40" s="18"/>
      <c r="E40" s="18"/>
      <c r="F40" s="18"/>
      <c r="G40" s="18"/>
      <c r="H40" s="18"/>
      <c r="I40" s="18">
        <f>$C$15</f>
        <v>10000</v>
      </c>
    </row>
    <row r="41" spans="2:10" x14ac:dyDescent="0.25">
      <c r="B41" s="11" t="s">
        <v>27</v>
      </c>
      <c r="C41" s="18"/>
      <c r="D41" s="12"/>
      <c r="E41" s="12"/>
      <c r="F41" s="12"/>
      <c r="G41" s="12"/>
      <c r="H41" s="12"/>
      <c r="I41" s="12"/>
    </row>
    <row r="42" spans="2:10" x14ac:dyDescent="0.25">
      <c r="B42" s="13" t="s">
        <v>23</v>
      </c>
      <c r="C42" s="12"/>
      <c r="D42" s="12"/>
      <c r="E42" s="12"/>
      <c r="F42" s="12"/>
      <c r="G42" s="12"/>
      <c r="H42" s="12"/>
      <c r="I42" s="12"/>
    </row>
    <row r="43" spans="2:10" x14ac:dyDescent="0.25">
      <c r="B43" s="13" t="s">
        <v>24</v>
      </c>
      <c r="C43" s="12"/>
      <c r="D43" s="12"/>
      <c r="E43" s="12"/>
      <c r="F43" s="12"/>
      <c r="G43" s="12"/>
      <c r="H43" s="12"/>
      <c r="I43" s="12"/>
    </row>
    <row r="44" spans="2:10" ht="1.5" customHeight="1" x14ac:dyDescent="0.25">
      <c r="B44" s="13"/>
      <c r="C44" s="16"/>
      <c r="D44" s="16"/>
      <c r="E44" s="16"/>
      <c r="F44" s="16"/>
      <c r="G44" s="16"/>
      <c r="H44" s="16"/>
      <c r="I44" s="16"/>
    </row>
    <row r="45" spans="2:10" x14ac:dyDescent="0.25">
      <c r="B45" s="13" t="s">
        <v>28</v>
      </c>
      <c r="C45" s="18">
        <f>SUM(C34:C43)</f>
        <v>-74100</v>
      </c>
      <c r="D45" s="18">
        <f>SUM(D34:D43)</f>
        <v>45444.5</v>
      </c>
      <c r="E45" s="18">
        <f t="shared" ref="D45:I45" si="9">SUM(E34:E43)</f>
        <v>45444.5</v>
      </c>
      <c r="F45" s="18">
        <f t="shared" si="9"/>
        <v>45444.5</v>
      </c>
      <c r="G45" s="18">
        <f t="shared" si="9"/>
        <v>45444.5</v>
      </c>
      <c r="H45" s="18">
        <f t="shared" si="9"/>
        <v>45444.5</v>
      </c>
      <c r="I45" s="18">
        <f>SUM(I34:I43)</f>
        <v>71367.5</v>
      </c>
    </row>
    <row r="46" spans="2:10" ht="6" customHeight="1" x14ac:dyDescent="0.25">
      <c r="C46" s="18"/>
      <c r="D46" s="18"/>
      <c r="E46" s="18"/>
      <c r="F46" s="18"/>
      <c r="G46" s="18"/>
      <c r="H46" s="18"/>
      <c r="I46" s="18"/>
    </row>
    <row r="47" spans="2:10" x14ac:dyDescent="0.25">
      <c r="B47" s="13" t="s">
        <v>30</v>
      </c>
      <c r="C47" s="18">
        <f>C45+NPV(C17,D45:I45)</f>
        <v>114428.72103112959</v>
      </c>
      <c r="D47" s="18"/>
      <c r="E47" s="18"/>
      <c r="F47" s="18"/>
      <c r="G47" s="18"/>
      <c r="H47" s="18"/>
      <c r="I47" s="18"/>
      <c r="J47" s="26" t="s">
        <v>34</v>
      </c>
    </row>
    <row r="48" spans="2:10" x14ac:dyDescent="0.25">
      <c r="J48" s="25" t="s">
        <v>35</v>
      </c>
    </row>
    <row r="49" spans="2:13" x14ac:dyDescent="0.25">
      <c r="J49" s="25" t="s">
        <v>36</v>
      </c>
    </row>
    <row r="52" spans="2:13" x14ac:dyDescent="0.25">
      <c r="C52" s="10">
        <v>0</v>
      </c>
      <c r="D52" s="10">
        <f>IF(C52&lt;$C$13,C52+1,"Nul")</f>
        <v>1</v>
      </c>
      <c r="E52" s="10">
        <f t="shared" ref="E52:I52" si="10">IF(D52&lt;$C$13,D52+1,"Nul")</f>
        <v>2</v>
      </c>
      <c r="F52" s="10">
        <f t="shared" si="10"/>
        <v>3</v>
      </c>
      <c r="G52" s="10">
        <f t="shared" si="10"/>
        <v>4</v>
      </c>
      <c r="H52" s="10">
        <f t="shared" si="10"/>
        <v>5</v>
      </c>
      <c r="I52" s="10">
        <f t="shared" si="10"/>
        <v>6</v>
      </c>
      <c r="M52" s="25" t="s">
        <v>40</v>
      </c>
    </row>
    <row r="53" spans="2:13" x14ac:dyDescent="0.25">
      <c r="B53" s="11" t="s">
        <v>0</v>
      </c>
      <c r="C53" s="18"/>
      <c r="D53" s="18">
        <f>SUM($C$4:$C$7)</f>
        <v>69800</v>
      </c>
      <c r="E53" s="18">
        <f t="shared" ref="E53:I53" si="11">SUM($C$4:$C$7)</f>
        <v>69800</v>
      </c>
      <c r="F53" s="18">
        <f t="shared" si="11"/>
        <v>69800</v>
      </c>
      <c r="G53" s="18">
        <f t="shared" si="11"/>
        <v>69800</v>
      </c>
      <c r="H53" s="18">
        <f t="shared" si="11"/>
        <v>69800</v>
      </c>
      <c r="I53" s="18">
        <f t="shared" si="11"/>
        <v>69800</v>
      </c>
    </row>
    <row r="54" spans="2:13" x14ac:dyDescent="0.25">
      <c r="B54" s="11" t="s">
        <v>13</v>
      </c>
      <c r="C54" s="18"/>
      <c r="D54" s="18"/>
      <c r="E54" s="18"/>
      <c r="F54" s="18"/>
      <c r="G54" s="18"/>
      <c r="H54" s="18"/>
      <c r="I54" s="18"/>
    </row>
    <row r="55" spans="2:13" x14ac:dyDescent="0.25">
      <c r="B55" s="13" t="s">
        <v>5</v>
      </c>
      <c r="C55" s="18"/>
      <c r="D55" s="18">
        <f>$C$9</f>
        <v>9000</v>
      </c>
      <c r="E55" s="18">
        <f t="shared" ref="E55:I55" si="12">$C$9</f>
        <v>9000</v>
      </c>
      <c r="F55" s="18">
        <f t="shared" si="12"/>
        <v>9000</v>
      </c>
      <c r="G55" s="18">
        <f t="shared" si="12"/>
        <v>9000</v>
      </c>
      <c r="H55" s="18">
        <f t="shared" si="12"/>
        <v>9000</v>
      </c>
      <c r="I55" s="18">
        <f t="shared" si="12"/>
        <v>9000</v>
      </c>
    </row>
    <row r="56" spans="2:13" x14ac:dyDescent="0.25">
      <c r="B56" s="13" t="s">
        <v>9</v>
      </c>
      <c r="C56" s="18"/>
      <c r="D56" s="18">
        <f>$C$14</f>
        <v>9615</v>
      </c>
      <c r="E56" s="18">
        <f t="shared" ref="E56:I56" si="13">$C$14</f>
        <v>9615</v>
      </c>
      <c r="F56" s="18">
        <f t="shared" si="13"/>
        <v>9615</v>
      </c>
      <c r="G56" s="18">
        <f t="shared" si="13"/>
        <v>9615</v>
      </c>
      <c r="H56" s="18">
        <f t="shared" si="13"/>
        <v>9615</v>
      </c>
      <c r="I56" s="18">
        <f t="shared" si="13"/>
        <v>9615</v>
      </c>
      <c r="L56" s="27">
        <f>IPMT(12%,3,6,64100)</f>
        <v>-5682.5532806208321</v>
      </c>
    </row>
    <row r="57" spans="2:13" x14ac:dyDescent="0.25">
      <c r="B57" s="14" t="s">
        <v>14</v>
      </c>
      <c r="C57" s="18"/>
      <c r="D57" s="18">
        <f>IPMT(12%,D52,$I$52,$C$69)</f>
        <v>7692</v>
      </c>
      <c r="E57" s="18">
        <f t="shared" ref="E57:I57" si="14">IPMT(12%,E52,$I$52,$C$69)</f>
        <v>6744.1477738777494</v>
      </c>
      <c r="F57" s="18">
        <f t="shared" si="14"/>
        <v>5682.5532806208321</v>
      </c>
      <c r="G57" s="18">
        <f t="shared" si="14"/>
        <v>4493.5674481730848</v>
      </c>
      <c r="H57" s="18">
        <f t="shared" si="14"/>
        <v>3161.9033158316056</v>
      </c>
      <c r="I57" s="18">
        <f t="shared" si="14"/>
        <v>1670.4394876091503</v>
      </c>
    </row>
    <row r="58" spans="2:13" ht="1.5" customHeight="1" x14ac:dyDescent="0.25">
      <c r="B58" s="15"/>
      <c r="C58" s="16"/>
      <c r="D58" s="16"/>
      <c r="E58" s="16"/>
      <c r="F58" s="16"/>
      <c r="G58" s="16"/>
      <c r="H58" s="16"/>
      <c r="I58" s="16"/>
    </row>
    <row r="59" spans="2:13" x14ac:dyDescent="0.25">
      <c r="B59" s="11" t="s">
        <v>15</v>
      </c>
      <c r="D59" s="18">
        <f>D53-D55-D56-D57</f>
        <v>43493</v>
      </c>
      <c r="E59" s="18">
        <f t="shared" ref="E59:I59" si="15">E53-E55-E56-E57</f>
        <v>44440.852226122253</v>
      </c>
      <c r="F59" s="18">
        <f t="shared" si="15"/>
        <v>45502.446719379164</v>
      </c>
      <c r="G59" s="18">
        <f t="shared" si="15"/>
        <v>46691.432551826918</v>
      </c>
      <c r="H59" s="18">
        <f t="shared" si="15"/>
        <v>48023.096684168391</v>
      </c>
      <c r="I59" s="18">
        <f t="shared" si="15"/>
        <v>49514.560512390846</v>
      </c>
      <c r="K59" s="18"/>
    </row>
    <row r="60" spans="2:13" x14ac:dyDescent="0.25">
      <c r="B60" s="11" t="s">
        <v>16</v>
      </c>
      <c r="D60" s="18">
        <f>D59*$C$16</f>
        <v>13047.9</v>
      </c>
      <c r="E60" s="18">
        <f t="shared" ref="E60" si="16">E59*$C$16</f>
        <v>13332.255667836676</v>
      </c>
      <c r="F60" s="18">
        <f t="shared" ref="F60" si="17">F59*$C$16</f>
        <v>13650.734015813749</v>
      </c>
      <c r="G60" s="18">
        <f t="shared" ref="G60" si="18">G59*$C$16</f>
        <v>14007.429765548075</v>
      </c>
      <c r="H60" s="18">
        <f t="shared" ref="H60" si="19">H59*$C$16</f>
        <v>14406.929005250517</v>
      </c>
      <c r="I60" s="18">
        <f t="shared" ref="I60" si="20">I59*$C$16</f>
        <v>14854.368153717252</v>
      </c>
    </row>
    <row r="61" spans="2:13" ht="0.75" customHeight="1" x14ac:dyDescent="0.25">
      <c r="B61" s="14"/>
      <c r="C61" s="16"/>
      <c r="D61" s="16"/>
      <c r="E61" s="16"/>
      <c r="F61" s="16"/>
      <c r="G61" s="16"/>
      <c r="H61" s="16"/>
      <c r="I61" s="16"/>
    </row>
    <row r="62" spans="2:13" x14ac:dyDescent="0.25">
      <c r="B62" s="11" t="s">
        <v>17</v>
      </c>
      <c r="C62" s="12"/>
      <c r="D62" s="18">
        <f>D59-D60</f>
        <v>30445.1</v>
      </c>
      <c r="E62" s="18">
        <f t="shared" ref="E62:I62" si="21">E59-E60</f>
        <v>31108.596558285579</v>
      </c>
      <c r="F62" s="18">
        <f t="shared" si="21"/>
        <v>31851.712703565416</v>
      </c>
      <c r="G62" s="18">
        <f t="shared" si="21"/>
        <v>32684.002786278841</v>
      </c>
      <c r="H62" s="18">
        <f t="shared" si="21"/>
        <v>33616.167678917875</v>
      </c>
      <c r="I62" s="18">
        <f t="shared" si="21"/>
        <v>34660.192358673594</v>
      </c>
    </row>
    <row r="63" spans="2:13" x14ac:dyDescent="0.25">
      <c r="B63" s="14"/>
      <c r="C63" s="12"/>
      <c r="D63" s="18"/>
      <c r="E63" s="18"/>
      <c r="F63" s="18"/>
      <c r="G63" s="18"/>
      <c r="H63" s="18"/>
      <c r="I63" s="18"/>
    </row>
    <row r="64" spans="2:13" x14ac:dyDescent="0.25">
      <c r="B64" s="11" t="s">
        <v>18</v>
      </c>
      <c r="C64" s="12"/>
      <c r="D64" s="18"/>
      <c r="E64" s="18"/>
      <c r="F64" s="18"/>
      <c r="G64" s="18"/>
      <c r="H64" s="18"/>
      <c r="I64" s="18"/>
    </row>
    <row r="65" spans="2:13" x14ac:dyDescent="0.25">
      <c r="B65" s="11" t="s">
        <v>25</v>
      </c>
      <c r="C65" s="18"/>
      <c r="D65" s="18"/>
      <c r="E65" s="18"/>
      <c r="F65" s="18"/>
      <c r="G65" s="18"/>
      <c r="H65" s="18"/>
      <c r="I65" s="18"/>
    </row>
    <row r="66" spans="2:13" x14ac:dyDescent="0.25">
      <c r="B66" s="11" t="s">
        <v>19</v>
      </c>
      <c r="C66" s="18"/>
      <c r="D66" s="18">
        <f>D62</f>
        <v>30445.1</v>
      </c>
      <c r="E66" s="18">
        <f t="shared" ref="E66:I66" si="22">E62</f>
        <v>31108.596558285579</v>
      </c>
      <c r="F66" s="18">
        <f t="shared" si="22"/>
        <v>31851.712703565416</v>
      </c>
      <c r="G66" s="18">
        <f t="shared" si="22"/>
        <v>32684.002786278841</v>
      </c>
      <c r="H66" s="18">
        <f t="shared" si="22"/>
        <v>33616.167678917875</v>
      </c>
      <c r="I66" s="18">
        <f t="shared" si="22"/>
        <v>34660.192358673594</v>
      </c>
    </row>
    <row r="67" spans="2:13" x14ac:dyDescent="0.25">
      <c r="B67" s="11" t="s">
        <v>9</v>
      </c>
      <c r="C67" s="18"/>
      <c r="D67" s="18">
        <f>D56</f>
        <v>9615</v>
      </c>
      <c r="E67" s="18">
        <f t="shared" ref="E67:I67" si="23">E56</f>
        <v>9615</v>
      </c>
      <c r="F67" s="18">
        <f t="shared" si="23"/>
        <v>9615</v>
      </c>
      <c r="G67" s="18">
        <f t="shared" si="23"/>
        <v>9615</v>
      </c>
      <c r="H67" s="18">
        <f t="shared" si="23"/>
        <v>9615</v>
      </c>
      <c r="I67" s="18">
        <f t="shared" si="23"/>
        <v>9615</v>
      </c>
      <c r="L67" s="25" t="s">
        <v>37</v>
      </c>
      <c r="M67" s="27">
        <f>PMT(12%,6,64100)</f>
        <v>-15590.768551018737</v>
      </c>
    </row>
    <row r="68" spans="2:13" x14ac:dyDescent="0.25">
      <c r="B68" s="11" t="s">
        <v>26</v>
      </c>
      <c r="C68" s="18"/>
      <c r="D68" s="18"/>
      <c r="E68" s="18"/>
      <c r="F68" s="18"/>
      <c r="G68" s="18"/>
      <c r="H68" s="18"/>
      <c r="I68" s="18"/>
    </row>
    <row r="69" spans="2:13" x14ac:dyDescent="0.25">
      <c r="B69" s="13" t="s">
        <v>20</v>
      </c>
      <c r="C69" s="18">
        <f>-(SUM($C$10:$C$11))</f>
        <v>-64100</v>
      </c>
      <c r="D69" s="18"/>
      <c r="E69" s="18"/>
      <c r="F69" s="18"/>
      <c r="G69" s="18"/>
      <c r="H69" s="18"/>
      <c r="I69" s="18"/>
    </row>
    <row r="70" spans="2:13" x14ac:dyDescent="0.25">
      <c r="B70" s="13" t="s">
        <v>7</v>
      </c>
      <c r="C70" s="18"/>
      <c r="D70" s="18"/>
      <c r="E70" s="18"/>
      <c r="F70" s="18"/>
      <c r="G70" s="18"/>
      <c r="H70" s="18"/>
      <c r="I70" s="18">
        <f>I38</f>
        <v>20000</v>
      </c>
    </row>
    <row r="71" spans="2:13" x14ac:dyDescent="0.25">
      <c r="B71" s="13" t="s">
        <v>21</v>
      </c>
      <c r="C71" s="18"/>
      <c r="D71" s="18"/>
      <c r="E71" s="18"/>
      <c r="F71" s="18"/>
      <c r="G71" s="18"/>
      <c r="H71" s="18"/>
      <c r="I71" s="18">
        <f>I39</f>
        <v>-4077</v>
      </c>
    </row>
    <row r="72" spans="2:13" x14ac:dyDescent="0.25">
      <c r="B72" s="13" t="s">
        <v>22</v>
      </c>
      <c r="C72" s="18">
        <f>-$C$15</f>
        <v>-10000</v>
      </c>
      <c r="D72" s="18"/>
      <c r="E72" s="18"/>
      <c r="F72" s="18"/>
      <c r="G72" s="18"/>
      <c r="H72" s="18"/>
      <c r="I72" s="18">
        <f>-$C$72</f>
        <v>10000</v>
      </c>
    </row>
    <row r="73" spans="2:13" x14ac:dyDescent="0.25">
      <c r="B73" s="11" t="s">
        <v>27</v>
      </c>
      <c r="C73" s="18"/>
      <c r="D73" s="18"/>
      <c r="E73" s="18"/>
      <c r="F73" s="18"/>
      <c r="G73" s="18"/>
      <c r="H73" s="18"/>
      <c r="I73" s="18"/>
    </row>
    <row r="74" spans="2:13" x14ac:dyDescent="0.25">
      <c r="B74" s="13" t="s">
        <v>23</v>
      </c>
      <c r="C74" s="18">
        <f>-$C$69</f>
        <v>64100</v>
      </c>
      <c r="D74" s="18"/>
      <c r="E74" s="18"/>
      <c r="F74" s="18"/>
      <c r="G74" s="18"/>
      <c r="H74" s="18"/>
      <c r="I74" s="18"/>
      <c r="K74" s="18">
        <f>D75+D57</f>
        <v>-206.76855101873753</v>
      </c>
    </row>
    <row r="75" spans="2:13" x14ac:dyDescent="0.25">
      <c r="B75" s="13" t="s">
        <v>38</v>
      </c>
      <c r="C75" s="18"/>
      <c r="D75" s="18">
        <f>-PPMT(12%,D52,$I$52,-SUM($C$10:$C$11))</f>
        <v>-7898.7685510187375</v>
      </c>
      <c r="E75" s="18">
        <f t="shared" ref="E75:I75" si="24">-PPMT(12%,E52,$I$52,-SUM($C$10:$C$11))</f>
        <v>-8846.6207771409863</v>
      </c>
      <c r="F75" s="18">
        <f t="shared" si="24"/>
        <v>-9908.2152703979045</v>
      </c>
      <c r="G75" s="18">
        <f t="shared" si="24"/>
        <v>-11097.201102845653</v>
      </c>
      <c r="H75" s="18">
        <f t="shared" si="24"/>
        <v>-12428.865235187131</v>
      </c>
      <c r="I75" s="18">
        <f t="shared" si="24"/>
        <v>-13920.329063409588</v>
      </c>
    </row>
    <row r="76" spans="2:13" ht="1.5" customHeight="1" x14ac:dyDescent="0.25">
      <c r="B76" s="13"/>
      <c r="C76" s="16"/>
      <c r="D76" s="16"/>
      <c r="E76" s="16"/>
      <c r="F76" s="16"/>
      <c r="G76" s="16"/>
      <c r="H76" s="16"/>
      <c r="I76" s="16"/>
    </row>
    <row r="77" spans="2:13" x14ac:dyDescent="0.25">
      <c r="B77" s="13" t="s">
        <v>28</v>
      </c>
      <c r="C77" s="18">
        <f>SUM(C66:C75)</f>
        <v>-10000</v>
      </c>
      <c r="D77" s="18">
        <f>SUM(D66:D75)</f>
        <v>32161.331448981262</v>
      </c>
      <c r="E77" s="18">
        <f t="shared" ref="E77:I77" si="25">SUM(E66:E75)</f>
        <v>31876.975781144592</v>
      </c>
      <c r="F77" s="18">
        <f t="shared" si="25"/>
        <v>31558.497433167508</v>
      </c>
      <c r="G77" s="18">
        <f t="shared" si="25"/>
        <v>31201.801683433187</v>
      </c>
      <c r="H77" s="18">
        <f t="shared" si="25"/>
        <v>30802.302443730743</v>
      </c>
      <c r="I77" s="18">
        <f t="shared" si="25"/>
        <v>56277.863295264004</v>
      </c>
      <c r="J77" s="18"/>
    </row>
    <row r="78" spans="2:13" ht="6" customHeight="1" x14ac:dyDescent="0.25">
      <c r="C78" s="18"/>
      <c r="D78" s="18"/>
      <c r="E78" s="18"/>
      <c r="F78" s="18"/>
      <c r="G78" s="18"/>
      <c r="H78" s="18"/>
      <c r="I78" s="18"/>
      <c r="J78" s="18"/>
    </row>
    <row r="79" spans="2:13" x14ac:dyDescent="0.25">
      <c r="B79" s="13" t="s">
        <v>30</v>
      </c>
      <c r="C79" s="18">
        <f>C77+NPV(C17,D77:I77)</f>
        <v>124152.23840874818</v>
      </c>
    </row>
    <row r="84" spans="2:14" x14ac:dyDescent="0.25">
      <c r="C84" s="10">
        <v>0</v>
      </c>
      <c r="D84" s="10">
        <f>IF(C84&lt;$C$13,C84+1,"Nul")</f>
        <v>1</v>
      </c>
      <c r="E84" s="10">
        <f t="shared" ref="E84" si="26">IF(D84&lt;$C$13,D84+1,"Nul")</f>
        <v>2</v>
      </c>
      <c r="F84" s="10">
        <f t="shared" ref="F84" si="27">IF(E84&lt;$C$13,E84+1,"Nul")</f>
        <v>3</v>
      </c>
      <c r="G84" s="10">
        <f t="shared" ref="G84" si="28">IF(F84&lt;$C$13,F84+1,"Nul")</f>
        <v>4</v>
      </c>
      <c r="H84" s="10">
        <f t="shared" ref="H84" si="29">IF(G84&lt;$C$13,G84+1,"Nul")</f>
        <v>5</v>
      </c>
      <c r="I84" s="10">
        <f t="shared" ref="I84" si="30">IF(H84&lt;$C$13,H84+1,"Nul")</f>
        <v>6</v>
      </c>
    </row>
    <row r="85" spans="2:14" x14ac:dyDescent="0.25">
      <c r="B85" s="11" t="s">
        <v>0</v>
      </c>
      <c r="C85" s="18"/>
      <c r="D85" s="18">
        <f>SUM($C$4:$C$7)</f>
        <v>69800</v>
      </c>
      <c r="E85" s="18">
        <f t="shared" ref="E85:I85" si="31">SUM($C$4:$C$7)</f>
        <v>69800</v>
      </c>
      <c r="F85" s="18">
        <f t="shared" si="31"/>
        <v>69800</v>
      </c>
      <c r="G85" s="18">
        <f t="shared" si="31"/>
        <v>69800</v>
      </c>
      <c r="H85" s="18">
        <f t="shared" si="31"/>
        <v>69800</v>
      </c>
      <c r="I85" s="18">
        <f t="shared" si="31"/>
        <v>69800</v>
      </c>
    </row>
    <row r="86" spans="2:14" x14ac:dyDescent="0.25">
      <c r="B86" s="11" t="s">
        <v>13</v>
      </c>
      <c r="C86" s="18"/>
      <c r="D86" s="18"/>
      <c r="E86" s="18"/>
      <c r="F86" s="18"/>
      <c r="G86" s="18"/>
      <c r="H86" s="18"/>
      <c r="I86" s="18"/>
    </row>
    <row r="87" spans="2:14" x14ac:dyDescent="0.25">
      <c r="B87" s="13" t="s">
        <v>5</v>
      </c>
      <c r="C87" s="18"/>
      <c r="D87" s="18">
        <f>$C$9</f>
        <v>9000</v>
      </c>
      <c r="E87" s="18">
        <f t="shared" ref="E87:I87" si="32">$C$9</f>
        <v>9000</v>
      </c>
      <c r="F87" s="18">
        <f t="shared" si="32"/>
        <v>9000</v>
      </c>
      <c r="G87" s="18">
        <f t="shared" si="32"/>
        <v>9000</v>
      </c>
      <c r="H87" s="18">
        <f t="shared" si="32"/>
        <v>9000</v>
      </c>
      <c r="I87" s="18">
        <f t="shared" si="32"/>
        <v>9000</v>
      </c>
      <c r="L87" s="25" t="s">
        <v>41</v>
      </c>
    </row>
    <row r="88" spans="2:14" x14ac:dyDescent="0.25">
      <c r="B88" s="13" t="s">
        <v>44</v>
      </c>
      <c r="C88" s="18">
        <f>-$L$93</f>
        <v>13785.308369258395</v>
      </c>
      <c r="D88" s="18">
        <f t="shared" ref="D88:H88" si="33">-$L$93</f>
        <v>13785.308369258395</v>
      </c>
      <c r="E88" s="18">
        <f t="shared" si="33"/>
        <v>13785.308369258395</v>
      </c>
      <c r="F88" s="18">
        <f t="shared" si="33"/>
        <v>13785.308369258395</v>
      </c>
      <c r="G88" s="18">
        <f t="shared" si="33"/>
        <v>13785.308369258395</v>
      </c>
      <c r="H88" s="18">
        <f t="shared" si="33"/>
        <v>13785.308369258395</v>
      </c>
      <c r="I88" s="18"/>
    </row>
    <row r="89" spans="2:14" x14ac:dyDescent="0.25">
      <c r="C89" s="18"/>
      <c r="D89" s="18"/>
      <c r="E89" s="18"/>
      <c r="F89" s="18"/>
      <c r="G89" s="18"/>
      <c r="H89" s="18"/>
      <c r="I89" s="18"/>
    </row>
    <row r="90" spans="2:14" x14ac:dyDescent="0.25">
      <c r="B90" s="15"/>
      <c r="C90" s="16"/>
      <c r="D90" s="16"/>
      <c r="E90" s="16"/>
      <c r="F90" s="16"/>
      <c r="G90" s="16"/>
      <c r="H90" s="16"/>
      <c r="I90" s="16"/>
      <c r="L90" s="25" t="s">
        <v>42</v>
      </c>
    </row>
    <row r="91" spans="2:14" x14ac:dyDescent="0.25">
      <c r="B91" s="11" t="s">
        <v>15</v>
      </c>
      <c r="C91" s="18">
        <f>-C88</f>
        <v>-13785.308369258395</v>
      </c>
      <c r="D91" s="18">
        <f>D85-D87-D88-D89</f>
        <v>47014.691630741603</v>
      </c>
      <c r="E91" s="18">
        <f t="shared" ref="E91:H91" si="34">E85-E87-E88-E89</f>
        <v>47014.691630741603</v>
      </c>
      <c r="F91" s="18">
        <f t="shared" si="34"/>
        <v>47014.691630741603</v>
      </c>
      <c r="G91" s="18">
        <f t="shared" si="34"/>
        <v>47014.691630741603</v>
      </c>
      <c r="H91" s="18">
        <f t="shared" si="34"/>
        <v>47014.691630741603</v>
      </c>
      <c r="I91" s="18">
        <f>I85-I87-I88-I89</f>
        <v>60800</v>
      </c>
      <c r="L91" s="25" t="s">
        <v>43</v>
      </c>
    </row>
    <row r="92" spans="2:14" x14ac:dyDescent="0.25">
      <c r="B92" s="11" t="s">
        <v>16</v>
      </c>
      <c r="C92" s="18">
        <f>C91*C16</f>
        <v>-4135.5925107775183</v>
      </c>
      <c r="D92" s="23">
        <f>D91*$C$16</f>
        <v>14104.40748922248</v>
      </c>
      <c r="E92" s="18">
        <f t="shared" ref="E92:I92" si="35">E91*$C$16</f>
        <v>14104.40748922248</v>
      </c>
      <c r="F92" s="18">
        <f t="shared" si="35"/>
        <v>14104.40748922248</v>
      </c>
      <c r="G92" s="18">
        <f t="shared" si="35"/>
        <v>14104.40748922248</v>
      </c>
      <c r="H92" s="18">
        <f t="shared" si="35"/>
        <v>14104.40748922248</v>
      </c>
      <c r="I92" s="18">
        <f t="shared" si="35"/>
        <v>18240</v>
      </c>
    </row>
    <row r="93" spans="2:14" x14ac:dyDescent="0.25">
      <c r="B93" s="14"/>
      <c r="C93" s="16"/>
      <c r="D93" s="16"/>
      <c r="E93" s="16"/>
      <c r="F93" s="16"/>
      <c r="G93" s="16"/>
      <c r="H93" s="16"/>
      <c r="I93" s="16"/>
      <c r="L93" s="27">
        <f>PMT(11.5%,6,64100,,1)</f>
        <v>-13785.308369258395</v>
      </c>
      <c r="N93" s="28">
        <f>PV(11.5%,5,1)</f>
        <v>-3.6498778469798121</v>
      </c>
    </row>
    <row r="94" spans="2:14" x14ac:dyDescent="0.25">
      <c r="B94" s="11" t="s">
        <v>17</v>
      </c>
      <c r="C94" s="18">
        <f>C91-C92</f>
        <v>-9649.7158584808767</v>
      </c>
      <c r="D94" s="18">
        <f>D91-D92</f>
        <v>32910.284141519121</v>
      </c>
      <c r="E94" s="18">
        <f>E91-E92</f>
        <v>32910.284141519121</v>
      </c>
      <c r="F94" s="18">
        <f t="shared" ref="F94:I94" si="36">F91-F92</f>
        <v>32910.284141519121</v>
      </c>
      <c r="G94" s="18">
        <f t="shared" si="36"/>
        <v>32910.284141519121</v>
      </c>
      <c r="H94" s="18">
        <f t="shared" si="36"/>
        <v>32910.284141519121</v>
      </c>
      <c r="I94" s="18">
        <f t="shared" si="36"/>
        <v>42560</v>
      </c>
    </row>
    <row r="95" spans="2:14" x14ac:dyDescent="0.25">
      <c r="B95" s="14"/>
      <c r="C95" s="12"/>
      <c r="D95" s="18"/>
      <c r="E95" s="18"/>
      <c r="F95" s="18"/>
      <c r="G95" s="18"/>
      <c r="H95" s="18"/>
      <c r="I95" s="18"/>
      <c r="N95" s="3">
        <f>64100/4.6499</f>
        <v>13785.242693391257</v>
      </c>
    </row>
    <row r="96" spans="2:14" x14ac:dyDescent="0.25">
      <c r="B96" s="11" t="s">
        <v>18</v>
      </c>
      <c r="C96" s="12"/>
      <c r="D96" s="18"/>
      <c r="E96" s="18"/>
      <c r="F96" s="18"/>
      <c r="G96" s="18"/>
      <c r="H96" s="18"/>
      <c r="I96" s="18"/>
    </row>
    <row r="97" spans="2:18" x14ac:dyDescent="0.25">
      <c r="B97" s="11" t="s">
        <v>25</v>
      </c>
      <c r="C97" s="18"/>
      <c r="D97" s="18"/>
      <c r="E97" s="18"/>
      <c r="F97" s="18"/>
      <c r="G97" s="18"/>
      <c r="H97" s="18"/>
      <c r="I97" s="18"/>
    </row>
    <row r="98" spans="2:18" x14ac:dyDescent="0.25">
      <c r="B98" s="11" t="s">
        <v>19</v>
      </c>
      <c r="C98" s="18">
        <f>C94</f>
        <v>-9649.7158584808767</v>
      </c>
      <c r="D98" s="18">
        <f>D94</f>
        <v>32910.284141519121</v>
      </c>
      <c r="E98" s="18">
        <f t="shared" ref="E98:H98" si="37">E94</f>
        <v>32910.284141519121</v>
      </c>
      <c r="F98" s="18">
        <f t="shared" si="37"/>
        <v>32910.284141519121</v>
      </c>
      <c r="G98" s="18">
        <f t="shared" si="37"/>
        <v>32910.284141519121</v>
      </c>
      <c r="H98" s="18">
        <f t="shared" si="37"/>
        <v>32910.284141519121</v>
      </c>
      <c r="I98" s="18">
        <f>I94</f>
        <v>42560</v>
      </c>
    </row>
    <row r="99" spans="2:18" x14ac:dyDescent="0.25">
      <c r="B99" s="13" t="s">
        <v>21</v>
      </c>
      <c r="C99" s="18"/>
      <c r="D99" s="18"/>
      <c r="E99" s="18"/>
      <c r="F99" s="18"/>
      <c r="G99" s="18"/>
      <c r="H99" s="18"/>
      <c r="I99" s="18"/>
    </row>
    <row r="100" spans="2:18" x14ac:dyDescent="0.25">
      <c r="B100" s="13" t="s">
        <v>22</v>
      </c>
      <c r="C100" s="18">
        <f>-$C$15</f>
        <v>-10000</v>
      </c>
      <c r="D100" s="18"/>
      <c r="E100" s="18"/>
      <c r="F100" s="18"/>
      <c r="G100" s="18"/>
      <c r="H100" s="18"/>
      <c r="I100" s="18">
        <f>-$C$72</f>
        <v>10000</v>
      </c>
    </row>
    <row r="101" spans="2:18" x14ac:dyDescent="0.25">
      <c r="B101" s="13"/>
      <c r="C101" s="16"/>
      <c r="D101" s="16"/>
      <c r="E101" s="16"/>
      <c r="F101" s="16"/>
      <c r="G101" s="16"/>
      <c r="H101" s="16"/>
      <c r="I101" s="16"/>
      <c r="L101" s="3">
        <v>-58550</v>
      </c>
      <c r="M101" s="3">
        <v>59170</v>
      </c>
      <c r="N101" s="3">
        <v>59170</v>
      </c>
      <c r="O101" s="3">
        <v>59170</v>
      </c>
      <c r="P101" s="3">
        <v>59170</v>
      </c>
      <c r="Q101" s="3">
        <v>59170</v>
      </c>
      <c r="R101" s="25">
        <v>117720</v>
      </c>
    </row>
    <row r="102" spans="2:18" x14ac:dyDescent="0.25">
      <c r="B102" s="13" t="s">
        <v>28</v>
      </c>
      <c r="C102" s="18">
        <f t="shared" ref="C102:I102" si="38">SUM(C98:C100)</f>
        <v>-19649.715858480879</v>
      </c>
      <c r="D102" s="18">
        <f t="shared" si="38"/>
        <v>32910.284141519121</v>
      </c>
      <c r="E102" s="18">
        <f t="shared" si="38"/>
        <v>32910.284141519121</v>
      </c>
      <c r="F102" s="18">
        <f t="shared" si="38"/>
        <v>32910.284141519121</v>
      </c>
      <c r="G102" s="18">
        <f t="shared" si="38"/>
        <v>32910.284141519121</v>
      </c>
      <c r="H102" s="18">
        <f t="shared" si="38"/>
        <v>32910.284141519121</v>
      </c>
      <c r="I102" s="18">
        <f t="shared" si="38"/>
        <v>52560</v>
      </c>
    </row>
    <row r="103" spans="2:18" x14ac:dyDescent="0.25">
      <c r="C103" s="18"/>
      <c r="D103" s="18"/>
      <c r="E103" s="18"/>
      <c r="F103" s="18"/>
      <c r="G103" s="18"/>
      <c r="H103" s="18"/>
      <c r="I103" s="18"/>
    </row>
    <row r="104" spans="2:18" x14ac:dyDescent="0.25">
      <c r="B104" s="13" t="s">
        <v>30</v>
      </c>
      <c r="C104" s="18">
        <f>C102+NPV($C$17,D102:I102)</f>
        <v>117279.58325376637</v>
      </c>
      <c r="M104" s="27">
        <f>NPV(18%,M101:R101)</f>
        <v>228641.91010120799</v>
      </c>
    </row>
    <row r="105" spans="2:18" x14ac:dyDescent="0.25">
      <c r="M105" s="27">
        <f>M104+L101</f>
        <v>170091.91010120799</v>
      </c>
    </row>
    <row r="107" spans="2:18" x14ac:dyDescent="0.25">
      <c r="M107" s="29">
        <f>IRR(L101:R101)</f>
        <v>1.0105892399655869</v>
      </c>
    </row>
  </sheetData>
  <pageMargins left="0.7" right="0.7" top="0.75" bottom="0.75" header="0.3" footer="0.3"/>
  <pageSetup paperSize="9" orientation="portrait" horizont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 Chauca</dc:creator>
  <cp:lastModifiedBy>Luis</cp:lastModifiedBy>
  <dcterms:created xsi:type="dcterms:W3CDTF">2017-09-20T13:05:45Z</dcterms:created>
  <dcterms:modified xsi:type="dcterms:W3CDTF">2018-07-13T22:52:08Z</dcterms:modified>
</cp:coreProperties>
</file>