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egunda presentación\Exportación de Arandanos\"/>
    </mc:Choice>
  </mc:AlternateContent>
  <bookViews>
    <workbookView xWindow="0" yWindow="0" windowWidth="20325" windowHeight="964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0" i="1" l="1"/>
  <c r="E88" i="1"/>
  <c r="M67" i="1"/>
  <c r="F126" i="1"/>
  <c r="G126" i="1"/>
  <c r="H126" i="1"/>
  <c r="E126" i="1"/>
  <c r="O140" i="1" l="1"/>
  <c r="I144" i="1"/>
  <c r="I145" i="1"/>
  <c r="J145" i="1"/>
  <c r="J143" i="1"/>
  <c r="J144" i="1" s="1"/>
  <c r="I143" i="1"/>
  <c r="F90" i="1"/>
  <c r="G90" i="1"/>
  <c r="H90" i="1"/>
  <c r="H94" i="1" s="1"/>
  <c r="E90" i="1"/>
  <c r="E94" i="1" s="1"/>
  <c r="F94" i="1"/>
  <c r="G94" i="1"/>
  <c r="R61" i="1"/>
  <c r="O61" i="1"/>
  <c r="P61" i="1"/>
  <c r="Q61" i="1"/>
  <c r="N61" i="1"/>
  <c r="R47" i="1"/>
  <c r="O60" i="1"/>
  <c r="P60" i="1"/>
  <c r="Q60" i="1" s="1"/>
  <c r="N60" i="1"/>
  <c r="I149" i="1" l="1"/>
  <c r="I152" i="1" s="1"/>
  <c r="I155" i="1" s="1"/>
  <c r="D96" i="1" s="1"/>
  <c r="D7" i="2"/>
  <c r="C7" i="2"/>
  <c r="M61" i="1"/>
  <c r="K39" i="1"/>
  <c r="J39" i="1"/>
  <c r="M60" i="1"/>
  <c r="D97" i="1" l="1"/>
  <c r="I93" i="1"/>
  <c r="G30" i="1"/>
  <c r="E60" i="1"/>
  <c r="W92" i="1"/>
  <c r="W93" i="1"/>
  <c r="E72" i="1"/>
  <c r="D36" i="1" l="1"/>
  <c r="E36" i="1" s="1"/>
  <c r="F36" i="1" s="1"/>
  <c r="G36" i="1" s="1"/>
  <c r="H36" i="1" s="1"/>
  <c r="E63" i="1" l="1"/>
  <c r="D29" i="1"/>
  <c r="G29" i="1" s="1"/>
  <c r="M68" i="1" l="1"/>
  <c r="G24" i="1" l="1"/>
  <c r="F64" i="1" l="1"/>
  <c r="G64" i="1"/>
  <c r="H64" i="1"/>
  <c r="I64" i="1"/>
  <c r="E64" i="1"/>
  <c r="C159" i="1"/>
  <c r="D3" i="1"/>
  <c r="D19" i="1"/>
  <c r="G19" i="1" s="1"/>
  <c r="D31" i="1"/>
  <c r="F63" i="1" l="1"/>
  <c r="C162" i="1"/>
  <c r="C161" i="1"/>
  <c r="C156" i="1"/>
  <c r="G63" i="1" l="1"/>
  <c r="D149" i="1"/>
  <c r="C151" i="1"/>
  <c r="C150" i="1"/>
  <c r="C149" i="1"/>
  <c r="D49" i="1" l="1"/>
  <c r="G28" i="1"/>
  <c r="U92" i="1"/>
  <c r="X92" i="1" s="1"/>
  <c r="D46" i="1"/>
  <c r="D45" i="1"/>
  <c r="G22" i="1"/>
  <c r="D52" i="1" s="1"/>
  <c r="G23" i="1"/>
  <c r="G21" i="1"/>
  <c r="D51" i="1" s="1"/>
  <c r="G20" i="1"/>
  <c r="D50" i="1" s="1"/>
  <c r="G18" i="1"/>
  <c r="D48" i="1" s="1"/>
  <c r="G17" i="1"/>
  <c r="D47" i="1" l="1"/>
  <c r="G25" i="1"/>
  <c r="E57" i="1"/>
  <c r="I57" i="1"/>
  <c r="F60" i="1"/>
  <c r="F77" i="1"/>
  <c r="F108" i="1" s="1"/>
  <c r="G77" i="1"/>
  <c r="G108" i="1" s="1"/>
  <c r="H77" i="1"/>
  <c r="H108" i="1" s="1"/>
  <c r="I77" i="1"/>
  <c r="I108" i="1" s="1"/>
  <c r="E77" i="1"/>
  <c r="E108" i="1" s="1"/>
  <c r="G58" i="1"/>
  <c r="E58" i="1"/>
  <c r="I60" i="1"/>
  <c r="F58" i="1"/>
  <c r="G57" i="1"/>
  <c r="H60" i="1"/>
  <c r="G60" i="1"/>
  <c r="I58" i="1"/>
  <c r="H57" i="1"/>
  <c r="F57" i="1"/>
  <c r="H58" i="1"/>
  <c r="E56" i="1" l="1"/>
  <c r="I130" i="1"/>
  <c r="I74" i="1"/>
  <c r="I105" i="1" s="1"/>
  <c r="E74" i="1"/>
  <c r="E105" i="1" s="1"/>
  <c r="F74" i="1"/>
  <c r="G74" i="1"/>
  <c r="H74" i="1"/>
  <c r="H105" i="1" s="1"/>
  <c r="D44" i="1"/>
  <c r="U93" i="1"/>
  <c r="I56" i="1"/>
  <c r="I73" i="1" s="1"/>
  <c r="I104" i="1" s="1"/>
  <c r="E73" i="1"/>
  <c r="F56" i="1"/>
  <c r="F73" i="1" s="1"/>
  <c r="F104" i="1" s="1"/>
  <c r="F89" i="1"/>
  <c r="G56" i="1"/>
  <c r="G73" i="1" s="1"/>
  <c r="G104" i="1" s="1"/>
  <c r="H56" i="1"/>
  <c r="H73" i="1" s="1"/>
  <c r="H104" i="1" s="1"/>
  <c r="G125" i="1" l="1"/>
  <c r="G105" i="1"/>
  <c r="F125" i="1"/>
  <c r="F105" i="1"/>
  <c r="E104" i="1"/>
  <c r="F75" i="1"/>
  <c r="F106" i="1" s="1"/>
  <c r="H75" i="1"/>
  <c r="H106" i="1" s="1"/>
  <c r="E75" i="1"/>
  <c r="E106" i="1" s="1"/>
  <c r="G75" i="1"/>
  <c r="G106" i="1" s="1"/>
  <c r="I75" i="1"/>
  <c r="I106" i="1" s="1"/>
  <c r="I89" i="1"/>
  <c r="I125" i="1"/>
  <c r="D128" i="1"/>
  <c r="D91" i="1"/>
  <c r="D94" i="1" s="1"/>
  <c r="D127" i="1"/>
  <c r="H89" i="1"/>
  <c r="H125" i="1"/>
  <c r="E125" i="1"/>
  <c r="E89" i="1"/>
  <c r="G89" i="1"/>
  <c r="Q96" i="1"/>
  <c r="Q78" i="1" l="1"/>
  <c r="Q80" i="1"/>
  <c r="Q95" i="1"/>
  <c r="P74" i="1"/>
  <c r="Q81" i="1"/>
  <c r="Q79" i="1"/>
  <c r="Q91" i="1"/>
  <c r="Q77" i="1"/>
  <c r="Q88" i="1"/>
  <c r="Q74" i="1"/>
  <c r="Q90" i="1"/>
  <c r="Q85" i="1"/>
  <c r="Q82" i="1"/>
  <c r="Q87" i="1"/>
  <c r="Q94" i="1"/>
  <c r="D131" i="1"/>
  <c r="N73" i="1"/>
  <c r="Q86" i="1"/>
  <c r="Q93" i="1"/>
  <c r="Q84" i="1"/>
  <c r="Q92" i="1"/>
  <c r="Q97" i="1"/>
  <c r="Q76" i="1"/>
  <c r="Q83" i="1"/>
  <c r="Q89" i="1"/>
  <c r="Q75" i="1"/>
  <c r="H63" i="1"/>
  <c r="O74" i="1" l="1"/>
  <c r="N74" i="1" s="1"/>
  <c r="P75" i="1" s="1"/>
  <c r="I63" i="1"/>
  <c r="H37" i="1"/>
  <c r="H38" i="1" s="1"/>
  <c r="I65" i="1" s="1"/>
  <c r="E37" i="1"/>
  <c r="E38" i="1" s="1"/>
  <c r="F65" i="1" s="1"/>
  <c r="D37" i="1"/>
  <c r="F37" i="1"/>
  <c r="F38" i="1" s="1"/>
  <c r="G65" i="1" s="1"/>
  <c r="G37" i="1"/>
  <c r="G38" i="1" s="1"/>
  <c r="H65" i="1" s="1"/>
  <c r="D38" i="1" l="1"/>
  <c r="E65" i="1" s="1"/>
  <c r="E62" i="1" s="1"/>
  <c r="I62" i="1"/>
  <c r="E39" i="1"/>
  <c r="E40" i="1" s="1"/>
  <c r="F62" i="1"/>
  <c r="G39" i="1"/>
  <c r="G40" i="1" s="1"/>
  <c r="H62" i="1"/>
  <c r="F39" i="1"/>
  <c r="F40" i="1" s="1"/>
  <c r="G62" i="1"/>
  <c r="D39" i="1" l="1"/>
  <c r="D40" i="1" s="1"/>
  <c r="H39" i="1"/>
  <c r="H72" i="1"/>
  <c r="F72" i="1"/>
  <c r="G72" i="1"/>
  <c r="I78" i="1"/>
  <c r="I109" i="1" s="1"/>
  <c r="G78" i="1"/>
  <c r="G109" i="1" s="1"/>
  <c r="F78" i="1"/>
  <c r="F109" i="1" s="1"/>
  <c r="E78" i="1"/>
  <c r="H78" i="1"/>
  <c r="H109" i="1" s="1"/>
  <c r="H76" i="1" l="1"/>
  <c r="H103" i="1"/>
  <c r="H107" i="1" s="1"/>
  <c r="H111" i="1" s="1"/>
  <c r="H112" i="1" s="1"/>
  <c r="H113" i="1" s="1"/>
  <c r="H124" i="1" s="1"/>
  <c r="G76" i="1"/>
  <c r="G79" i="1" s="1"/>
  <c r="G103" i="1"/>
  <c r="G107" i="1" s="1"/>
  <c r="G111" i="1" s="1"/>
  <c r="G112" i="1" s="1"/>
  <c r="G113" i="1" s="1"/>
  <c r="G124" i="1" s="1"/>
  <c r="F76" i="1"/>
  <c r="F103" i="1"/>
  <c r="F107" i="1" s="1"/>
  <c r="E103" i="1"/>
  <c r="E107" i="1" s="1"/>
  <c r="E76" i="1"/>
  <c r="E79" i="1" s="1"/>
  <c r="E80" i="1" s="1"/>
  <c r="E109" i="1"/>
  <c r="F79" i="1"/>
  <c r="H79" i="1"/>
  <c r="H80" i="1" s="1"/>
  <c r="H81" i="1" s="1"/>
  <c r="H40" i="1"/>
  <c r="I72" i="1" s="1"/>
  <c r="O75" i="1"/>
  <c r="I76" i="1" l="1"/>
  <c r="I79" i="1" s="1"/>
  <c r="I103" i="1"/>
  <c r="I107" i="1" s="1"/>
  <c r="I111" i="1" s="1"/>
  <c r="I112" i="1" s="1"/>
  <c r="I113" i="1" s="1"/>
  <c r="I124" i="1" s="1"/>
  <c r="G80" i="1"/>
  <c r="G81" i="1" s="1"/>
  <c r="E81" i="1"/>
  <c r="I80" i="1"/>
  <c r="H88" i="1"/>
  <c r="F80" i="1"/>
  <c r="N75" i="1"/>
  <c r="P76" i="1" s="1"/>
  <c r="F81" i="1" l="1"/>
  <c r="I81" i="1"/>
  <c r="G88" i="1"/>
  <c r="O76" i="1"/>
  <c r="G131" i="1" l="1"/>
  <c r="I88" i="1"/>
  <c r="H131" i="1"/>
  <c r="F88" i="1"/>
  <c r="N76" i="1"/>
  <c r="P77" i="1" s="1"/>
  <c r="I92" i="1" l="1"/>
  <c r="I94" i="1" s="1"/>
  <c r="I129" i="1"/>
  <c r="I131" i="1" s="1"/>
  <c r="O77" i="1"/>
  <c r="D98" i="1" l="1"/>
  <c r="N77" i="1"/>
  <c r="P78" i="1" s="1"/>
  <c r="O78" i="1" l="1"/>
  <c r="N78" i="1" l="1"/>
  <c r="P79" i="1" l="1"/>
  <c r="O79" i="1" s="1"/>
  <c r="N79" i="1" l="1"/>
  <c r="P80" i="1" l="1"/>
  <c r="O80" i="1" s="1"/>
  <c r="N80" i="1" l="1"/>
  <c r="P81" i="1" l="1"/>
  <c r="O81" i="1" s="1"/>
  <c r="N81" i="1" s="1"/>
  <c r="P82" i="1" l="1"/>
  <c r="O82" i="1" s="1"/>
  <c r="N82" i="1" s="1"/>
  <c r="P83" i="1" l="1"/>
  <c r="O83" i="1" s="1"/>
  <c r="N83" i="1" s="1"/>
  <c r="P84" i="1" l="1"/>
  <c r="O84" i="1" s="1"/>
  <c r="N84" i="1" s="1"/>
  <c r="P85" i="1" l="1"/>
  <c r="O85" i="1" l="1"/>
  <c r="V73" i="1"/>
  <c r="E111" i="1" s="1"/>
  <c r="E112" i="1" s="1"/>
  <c r="E113" i="1" s="1"/>
  <c r="E124" i="1" s="1"/>
  <c r="N85" i="1" l="1"/>
  <c r="U73" i="1"/>
  <c r="E128" i="1" s="1"/>
  <c r="E131" i="1" s="1"/>
  <c r="T73" i="1" l="1"/>
  <c r="P86" i="1"/>
  <c r="O86" i="1" l="1"/>
  <c r="N86" i="1" l="1"/>
  <c r="P87" i="1" s="1"/>
  <c r="O87" i="1" l="1"/>
  <c r="N87" i="1" l="1"/>
  <c r="P88" i="1" s="1"/>
  <c r="O88" i="1" l="1"/>
  <c r="N88" i="1" l="1"/>
  <c r="P89" i="1" s="1"/>
  <c r="O89" i="1" l="1"/>
  <c r="N89" i="1" l="1"/>
  <c r="P90" i="1" s="1"/>
  <c r="O90" i="1" l="1"/>
  <c r="N90" i="1" l="1"/>
  <c r="P91" i="1" s="1"/>
  <c r="O91" i="1" s="1"/>
  <c r="N91" i="1" s="1"/>
  <c r="P92" i="1" s="1"/>
  <c r="O92" i="1" s="1"/>
  <c r="N92" i="1" s="1"/>
  <c r="P93" i="1" s="1"/>
  <c r="O93" i="1" s="1"/>
  <c r="N93" i="1" s="1"/>
  <c r="P94" i="1" s="1"/>
  <c r="O94" i="1" s="1"/>
  <c r="N94" i="1" s="1"/>
  <c r="P95" i="1" s="1"/>
  <c r="O95" i="1" s="1"/>
  <c r="N95" i="1" s="1"/>
  <c r="P96" i="1" s="1"/>
  <c r="O96" i="1" s="1"/>
  <c r="N96" i="1" s="1"/>
  <c r="P97" i="1" s="1"/>
  <c r="V74" i="1" s="1"/>
  <c r="F110" i="1" s="1"/>
  <c r="F111" i="1" s="1"/>
  <c r="F112" i="1" s="1"/>
  <c r="F113" i="1" s="1"/>
  <c r="F124" i="1" s="1"/>
  <c r="O97" i="1" l="1"/>
  <c r="P99" i="1"/>
  <c r="O99" i="1" l="1"/>
  <c r="U74" i="1"/>
  <c r="F128" i="1" s="1"/>
  <c r="F131" i="1" s="1"/>
  <c r="D134" i="1" s="1"/>
  <c r="N97" i="1"/>
  <c r="T74" i="1" s="1"/>
  <c r="D135" i="1" l="1"/>
</calcChain>
</file>

<file path=xl/sharedStrings.xml><?xml version="1.0" encoding="utf-8"?>
<sst xmlns="http://schemas.openxmlformats.org/spreadsheetml/2006/main" count="169" uniqueCount="125">
  <si>
    <t>$/kg</t>
  </si>
  <si>
    <t>Precio FOB</t>
  </si>
  <si>
    <t>Cantidad de hectáreas</t>
  </si>
  <si>
    <t>Tn/ha</t>
  </si>
  <si>
    <t>http://www.danper.com/blog/exportacion-de-arandanos-en-peru-continua-incrementando/</t>
  </si>
  <si>
    <t>$/Tn</t>
  </si>
  <si>
    <t>ha</t>
  </si>
  <si>
    <t xml:space="preserve">INVERSIÓN </t>
  </si>
  <si>
    <t>Tractor</t>
  </si>
  <si>
    <t>$</t>
  </si>
  <si>
    <t>Cultivos</t>
  </si>
  <si>
    <t>$/ha</t>
  </si>
  <si>
    <t xml:space="preserve">COSTOS DE OPERACIÓN </t>
  </si>
  <si>
    <t>Insumos</t>
  </si>
  <si>
    <t>Sistema de riego</t>
  </si>
  <si>
    <t>Terreno</t>
  </si>
  <si>
    <t>Jornales</t>
  </si>
  <si>
    <t>$/año</t>
  </si>
  <si>
    <t>Cantidad trabajadores año 0</t>
  </si>
  <si>
    <t>Cantidad trabajadores a partir año 1</t>
  </si>
  <si>
    <t>trabaj/ha</t>
  </si>
  <si>
    <t>$/mes</t>
  </si>
  <si>
    <t>Producción (Tn)</t>
  </si>
  <si>
    <t>Precio por TM(US$)</t>
  </si>
  <si>
    <t>Ingresos</t>
  </si>
  <si>
    <t xml:space="preserve">Producción aumenta en </t>
  </si>
  <si>
    <t>INGRESOS</t>
  </si>
  <si>
    <t>COSTOS</t>
  </si>
  <si>
    <t>Gastos preoperativos</t>
  </si>
  <si>
    <t>Costos de inversión</t>
  </si>
  <si>
    <t xml:space="preserve">   Cultivos</t>
  </si>
  <si>
    <t xml:space="preserve">   Jornales</t>
  </si>
  <si>
    <t xml:space="preserve">   Insumos</t>
  </si>
  <si>
    <t xml:space="preserve">  Preparación del terreno</t>
  </si>
  <si>
    <t>Preparación del terreno</t>
  </si>
  <si>
    <t xml:space="preserve">  Sistema de riego</t>
  </si>
  <si>
    <t xml:space="preserve">Costos de operación </t>
  </si>
  <si>
    <t>Gastos generales</t>
  </si>
  <si>
    <t>Inversión año 1</t>
  </si>
  <si>
    <t>FINANCIAMIENTO</t>
  </si>
  <si>
    <t>Monto</t>
  </si>
  <si>
    <t xml:space="preserve">Período </t>
  </si>
  <si>
    <t>Período
Años</t>
  </si>
  <si>
    <t>Saldo
US$</t>
  </si>
  <si>
    <t>Intereses
US$</t>
  </si>
  <si>
    <t>Amortización
de Capital</t>
  </si>
  <si>
    <t>Cuota 
US$</t>
  </si>
  <si>
    <t>DEPRECIACIONES</t>
  </si>
  <si>
    <t>ACTIVO FIJO</t>
  </si>
  <si>
    <t>INVERSIÓN
TOTAL</t>
  </si>
  <si>
    <t>PERIODOS
AÑOS</t>
  </si>
  <si>
    <t>DEPREC.
ANUAL</t>
  </si>
  <si>
    <t>Utilidad Bruta</t>
  </si>
  <si>
    <t xml:space="preserve">Depreciación </t>
  </si>
  <si>
    <t>Utilidad Operativa</t>
  </si>
  <si>
    <t>Impuestos</t>
  </si>
  <si>
    <t>Utilidad Neta</t>
  </si>
  <si>
    <t>FFC Económico</t>
  </si>
  <si>
    <t>FLUJO DE CAJA ECONÓMICO</t>
  </si>
  <si>
    <t>Inversión</t>
  </si>
  <si>
    <t>FLUJO DE CAJA FINANCIERO</t>
  </si>
  <si>
    <t>FFC Financiero</t>
  </si>
  <si>
    <t>VAN</t>
  </si>
  <si>
    <t>Tasa</t>
  </si>
  <si>
    <t>TIR</t>
  </si>
  <si>
    <t xml:space="preserve">Sueldo  trabajadores </t>
  </si>
  <si>
    <t>Gastos Administrativos</t>
  </si>
  <si>
    <t>$/Año</t>
  </si>
  <si>
    <t>Total Ingresos</t>
  </si>
  <si>
    <t>Producción por hectarea (Año 0)</t>
  </si>
  <si>
    <t xml:space="preserve">Gastos de exportación </t>
  </si>
  <si>
    <t>Transporte Puerto</t>
  </si>
  <si>
    <t xml:space="preserve">Transporte a puerto </t>
  </si>
  <si>
    <t>Seguro</t>
  </si>
  <si>
    <t>$/anual</t>
  </si>
  <si>
    <t>Agente de adunas</t>
  </si>
  <si>
    <t xml:space="preserve">Seguro interno </t>
  </si>
  <si>
    <t>Agente de aduana</t>
  </si>
  <si>
    <t>Período
mes</t>
  </si>
  <si>
    <t>*Tasa anual</t>
  </si>
  <si>
    <t>Tasa de interés(mes)</t>
  </si>
  <si>
    <t>Reposición de préstamo</t>
  </si>
  <si>
    <t xml:space="preserve">Capital de trabajo </t>
  </si>
  <si>
    <t>Cambio de capital de trabajo</t>
  </si>
  <si>
    <t>Recuperación del capital de trabajo</t>
  </si>
  <si>
    <t>Capital de trabajo inicial</t>
  </si>
  <si>
    <t xml:space="preserve">Incremento de capital de trabajo </t>
  </si>
  <si>
    <t>Valor residual</t>
  </si>
  <si>
    <t xml:space="preserve">Agregar valor residual terreno </t>
  </si>
  <si>
    <t>valor residual tractor</t>
  </si>
  <si>
    <t xml:space="preserve">Valor de rescate </t>
  </si>
  <si>
    <t xml:space="preserve">verificar si amortizacion se devuelve al FC </t>
  </si>
  <si>
    <t xml:space="preserve">SAGA </t>
  </si>
  <si>
    <t>INVERSIÓN EN INSUMOS</t>
  </si>
  <si>
    <t xml:space="preserve">Amortización de intangibles </t>
  </si>
  <si>
    <t>Drawback 3% FOB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</si>
  <si>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</si>
  <si>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</si>
  <si>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</si>
  <si>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</si>
  <si>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</si>
  <si>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</si>
  <si>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</si>
  <si>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</si>
  <si>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</si>
  <si>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</si>
  <si>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</si>
  <si>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ESTADO DE RESULTADOS ECONÓMICO</t>
  </si>
  <si>
    <t>Gastos financieros</t>
  </si>
  <si>
    <t xml:space="preserve">Total Anual </t>
  </si>
  <si>
    <t>$/ 10 ha</t>
  </si>
  <si>
    <t>CAPM</t>
  </si>
  <si>
    <t>Activos</t>
  </si>
  <si>
    <t>Pasivos</t>
  </si>
  <si>
    <t>Kd</t>
  </si>
  <si>
    <t>Ks =</t>
  </si>
  <si>
    <t>Prima de riesgo</t>
  </si>
  <si>
    <t>Rf</t>
  </si>
  <si>
    <t>Amortización de gastos preoperativos</t>
  </si>
  <si>
    <t>WACC =</t>
  </si>
  <si>
    <t>Activo corrientes</t>
  </si>
  <si>
    <t>Activos no corrientes</t>
  </si>
  <si>
    <t>beta sector desapalancada</t>
  </si>
  <si>
    <t>Beta apalancada</t>
  </si>
  <si>
    <t>ESTADO DE RESULTADOS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</si>
</sst>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S/.&quot;\ #,##0.00;[Red]&quot;S/.&quot;\ \-#,##0.00"/>
    <numFmt numFmtId="164" formatCode="0.0%"/>
    <numFmt numFmtId="165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2"/>
    <xf numFmtId="3" fontId="0" fillId="0" borderId="0" xfId="0" applyNumberFormat="1"/>
    <xf numFmtId="3" fontId="0" fillId="0" borderId="1" xfId="0" applyNumberFormat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/>
    <xf numFmtId="2" fontId="0" fillId="0" borderId="2" xfId="0" applyNumberFormat="1" applyBorder="1" applyAlignment="1">
      <alignment horizontal="center"/>
    </xf>
    <xf numFmtId="9" fontId="0" fillId="0" borderId="0" xfId="1" applyFont="1"/>
    <xf numFmtId="3" fontId="0" fillId="0" borderId="2" xfId="0" applyNumberForma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/>
    <xf numFmtId="0" fontId="0" fillId="0" borderId="2" xfId="0" applyBorder="1"/>
    <xf numFmtId="3" fontId="2" fillId="0" borderId="0" xfId="0" applyNumberFormat="1" applyFont="1"/>
    <xf numFmtId="0" fontId="2" fillId="0" borderId="0" xfId="0" applyFont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9" fontId="0" fillId="0" borderId="2" xfId="1" applyFont="1" applyBorder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/>
    <xf numFmtId="0" fontId="0" fillId="0" borderId="1" xfId="0" applyBorder="1"/>
    <xf numFmtId="3" fontId="0" fillId="0" borderId="0" xfId="0" applyNumberFormat="1" applyBorder="1"/>
    <xf numFmtId="9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9" fontId="5" fillId="0" borderId="0" xfId="1" applyFont="1"/>
    <xf numFmtId="164" fontId="4" fillId="0" borderId="0" xfId="1" applyNumberFormat="1" applyFont="1"/>
    <xf numFmtId="10" fontId="0" fillId="0" borderId="0" xfId="1" applyNumberFormat="1" applyFont="1"/>
    <xf numFmtId="8" fontId="0" fillId="0" borderId="0" xfId="0" applyNumberFormat="1"/>
    <xf numFmtId="3" fontId="0" fillId="0" borderId="2" xfId="0" applyNumberFormat="1" applyBorder="1"/>
    <xf numFmtId="4" fontId="0" fillId="0" borderId="0" xfId="0" applyNumberFormat="1"/>
    <xf numFmtId="165" fontId="0" fillId="0" borderId="2" xfId="1" applyNumberFormat="1" applyFont="1" applyBorder="1"/>
    <xf numFmtId="164" fontId="0" fillId="0" borderId="0" xfId="1" applyNumberFormat="1" applyFont="1"/>
    <xf numFmtId="0" fontId="2" fillId="0" borderId="0" xfId="0" applyFont="1" applyBorder="1" applyAlignment="1">
      <alignment horizontal="center" vertical="center" wrapText="1"/>
    </xf>
    <xf numFmtId="4" fontId="0" fillId="0" borderId="2" xfId="0" applyNumberFormat="1" applyBorder="1"/>
    <xf numFmtId="0" fontId="0" fillId="2" borderId="0" xfId="0" applyFill="1"/>
    <xf numFmtId="9" fontId="0" fillId="0" borderId="0" xfId="0" applyNumberFormat="1" applyBorder="1"/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Border="1"/>
    <xf numFmtId="3" fontId="4" fillId="0" borderId="0" xfId="0" applyNumberFormat="1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3" fontId="0" fillId="0" borderId="0" xfId="0" applyNumberFormat="1" applyFont="1"/>
    <xf numFmtId="0" fontId="2" fillId="0" borderId="9" xfId="0" applyFont="1" applyFill="1" applyBorder="1" applyAlignment="1">
      <alignment horizontal="center"/>
    </xf>
    <xf numFmtId="0" fontId="0" fillId="0" borderId="0" xfId="0" applyFill="1"/>
    <xf numFmtId="4" fontId="0" fillId="0" borderId="1" xfId="0" applyNumberFormat="1" applyBorder="1"/>
    <xf numFmtId="0" fontId="0" fillId="0" borderId="0" xfId="0" applyAlignment="1">
      <alignment horizontal="right"/>
    </xf>
    <xf numFmtId="2" fontId="0" fillId="0" borderId="0" xfId="1" applyNumberFormat="1" applyFont="1"/>
    <xf numFmtId="2" fontId="5" fillId="0" borderId="0" xfId="1" applyNumberFormat="1" applyFont="1"/>
    <xf numFmtId="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/>
    <xf numFmtId="164" fontId="5" fillId="0" borderId="0" xfId="1" applyNumberFormat="1" applyFont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nper.com/blog/exportacion-de-arandanos-en-peru-continua-incrementan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62"/>
  <sheetViews>
    <sheetView tabSelected="1" topLeftCell="A79" zoomScale="80" zoomScaleNormal="80" workbookViewId="0">
      <selection activeCell="I100" sqref="I100"/>
    </sheetView>
  </sheetViews>
  <sheetFormatPr baseColWidth="10" defaultRowHeight="15" x14ac:dyDescent="0.25"/>
  <cols>
    <col min="1" max="1" width="9.85546875" customWidth="1"/>
    <col min="2" max="2" width="13.7109375" customWidth="1"/>
    <col min="3" max="3" width="34.28515625" customWidth="1"/>
    <col min="4" max="4" width="19.42578125" customWidth="1"/>
    <col min="5" max="5" width="13.42578125" customWidth="1"/>
    <col min="6" max="6" width="14.140625" customWidth="1"/>
    <col min="8" max="8" width="11.42578125" customWidth="1"/>
    <col min="9" max="9" width="13.7109375" customWidth="1"/>
    <col min="12" max="12" width="20" customWidth="1"/>
    <col min="13" max="13" width="15.140625" customWidth="1"/>
    <col min="14" max="14" width="12.42578125" bestFit="1" customWidth="1"/>
    <col min="15" max="15" width="17.28515625" customWidth="1"/>
    <col min="16" max="16" width="15.140625" customWidth="1"/>
    <col min="19" max="19" width="14.28515625" customWidth="1"/>
    <col min="20" max="20" width="15.28515625" customWidth="1"/>
    <col min="21" max="21" width="18.28515625" customWidth="1"/>
    <col min="22" max="22" width="16.5703125" customWidth="1"/>
    <col min="23" max="23" width="14.140625" customWidth="1"/>
  </cols>
  <sheetData>
    <row r="2" spans="1:7" x14ac:dyDescent="0.25">
      <c r="D2">
        <v>9</v>
      </c>
      <c r="E2" t="s">
        <v>0</v>
      </c>
    </row>
    <row r="3" spans="1:7" x14ac:dyDescent="0.25">
      <c r="A3" t="s">
        <v>96</v>
      </c>
      <c r="B3" t="s">
        <v>1</v>
      </c>
      <c r="D3">
        <f>D2*1000</f>
        <v>9000</v>
      </c>
      <c r="E3" t="s">
        <v>5</v>
      </c>
    </row>
    <row r="4" spans="1:7" x14ac:dyDescent="0.25">
      <c r="A4" t="s">
        <v>97</v>
      </c>
      <c r="B4" t="s">
        <v>2</v>
      </c>
      <c r="D4">
        <v>10</v>
      </c>
      <c r="E4" t="s">
        <v>6</v>
      </c>
    </row>
    <row r="5" spans="1:7" x14ac:dyDescent="0.25">
      <c r="A5" t="s">
        <v>98</v>
      </c>
      <c r="B5" t="s">
        <v>25</v>
      </c>
      <c r="D5" s="10">
        <v>0.15</v>
      </c>
    </row>
    <row r="6" spans="1:7" x14ac:dyDescent="0.25">
      <c r="A6" t="s">
        <v>99</v>
      </c>
      <c r="B6" t="s">
        <v>69</v>
      </c>
      <c r="D6">
        <v>8</v>
      </c>
      <c r="E6" t="s">
        <v>3</v>
      </c>
      <c r="G6" s="1" t="s">
        <v>4</v>
      </c>
    </row>
    <row r="7" spans="1:7" x14ac:dyDescent="0.25">
      <c r="A7" t="s">
        <v>100</v>
      </c>
      <c r="B7" t="s">
        <v>18</v>
      </c>
      <c r="D7">
        <v>8</v>
      </c>
    </row>
    <row r="8" spans="1:7" x14ac:dyDescent="0.25">
      <c r="A8" t="s">
        <v>101</v>
      </c>
      <c r="B8" t="s">
        <v>19</v>
      </c>
      <c r="D8">
        <v>10</v>
      </c>
      <c r="E8" t="s">
        <v>20</v>
      </c>
    </row>
    <row r="9" spans="1:7" x14ac:dyDescent="0.25">
      <c r="A9" t="s">
        <v>102</v>
      </c>
      <c r="B9" t="s">
        <v>65</v>
      </c>
      <c r="D9">
        <v>350</v>
      </c>
      <c r="E9" t="s">
        <v>21</v>
      </c>
    </row>
    <row r="10" spans="1:7" x14ac:dyDescent="0.25">
      <c r="A10" t="s">
        <v>103</v>
      </c>
      <c r="B10" t="s">
        <v>72</v>
      </c>
      <c r="D10">
        <v>600</v>
      </c>
      <c r="E10" t="s">
        <v>5</v>
      </c>
    </row>
    <row r="11" spans="1:7" x14ac:dyDescent="0.25">
      <c r="A11" t="s">
        <v>104</v>
      </c>
      <c r="B11" t="s">
        <v>73</v>
      </c>
      <c r="D11">
        <v>15000</v>
      </c>
      <c r="E11" t="s">
        <v>74</v>
      </c>
    </row>
    <row r="12" spans="1:7" x14ac:dyDescent="0.25">
      <c r="A12" t="s">
        <v>105</v>
      </c>
      <c r="B12" t="s">
        <v>75</v>
      </c>
      <c r="D12" s="36">
        <v>3.5000000000000003E-2</v>
      </c>
    </row>
    <row r="13" spans="1:7" x14ac:dyDescent="0.25">
      <c r="A13" t="s">
        <v>106</v>
      </c>
      <c r="B13" t="s">
        <v>86</v>
      </c>
      <c r="D13" s="10">
        <v>0.1</v>
      </c>
    </row>
    <row r="14" spans="1:7" x14ac:dyDescent="0.25">
      <c r="D14" s="10"/>
    </row>
    <row r="16" spans="1:7" x14ac:dyDescent="0.25">
      <c r="A16" t="s">
        <v>7</v>
      </c>
      <c r="G16" s="2" t="s">
        <v>109</v>
      </c>
    </row>
    <row r="17" spans="1:8" x14ac:dyDescent="0.25">
      <c r="B17" t="s">
        <v>8</v>
      </c>
      <c r="D17" s="2">
        <v>60000</v>
      </c>
      <c r="E17" t="s">
        <v>9</v>
      </c>
      <c r="G17" s="2">
        <f>D17</f>
        <v>60000</v>
      </c>
    </row>
    <row r="18" spans="1:8" x14ac:dyDescent="0.25">
      <c r="B18" t="s">
        <v>10</v>
      </c>
      <c r="D18" s="2">
        <v>23000</v>
      </c>
      <c r="E18" t="s">
        <v>11</v>
      </c>
      <c r="G18" s="2">
        <f>D18*D4</f>
        <v>230000</v>
      </c>
    </row>
    <row r="19" spans="1:8" x14ac:dyDescent="0.25">
      <c r="B19" t="s">
        <v>16</v>
      </c>
      <c r="D19" s="2">
        <f>D7*D9*3</f>
        <v>8400</v>
      </c>
      <c r="E19" t="s">
        <v>67</v>
      </c>
      <c r="G19" s="2">
        <f>D19*D4</f>
        <v>84000</v>
      </c>
    </row>
    <row r="20" spans="1:8" x14ac:dyDescent="0.25">
      <c r="B20" t="s">
        <v>13</v>
      </c>
      <c r="D20" s="2">
        <v>9000</v>
      </c>
      <c r="E20" t="s">
        <v>11</v>
      </c>
      <c r="G20" s="2">
        <f>D20*D4</f>
        <v>90000</v>
      </c>
    </row>
    <row r="21" spans="1:8" x14ac:dyDescent="0.25">
      <c r="B21" t="s">
        <v>14</v>
      </c>
      <c r="D21" s="2">
        <v>8000</v>
      </c>
      <c r="E21" t="s">
        <v>11</v>
      </c>
      <c r="G21" s="2">
        <f>D21*D4</f>
        <v>80000</v>
      </c>
    </row>
    <row r="22" spans="1:8" x14ac:dyDescent="0.25">
      <c r="B22" t="s">
        <v>34</v>
      </c>
      <c r="D22" s="2">
        <v>2000</v>
      </c>
      <c r="E22" t="s">
        <v>11</v>
      </c>
      <c r="G22" s="2">
        <f>D22*D4</f>
        <v>20000</v>
      </c>
    </row>
    <row r="23" spans="1:8" x14ac:dyDescent="0.25">
      <c r="B23" t="s">
        <v>15</v>
      </c>
      <c r="D23" s="2">
        <v>450000</v>
      </c>
      <c r="E23" t="s">
        <v>110</v>
      </c>
      <c r="G23" s="24">
        <f>D23</f>
        <v>450000</v>
      </c>
    </row>
    <row r="24" spans="1:8" x14ac:dyDescent="0.25">
      <c r="B24" t="s">
        <v>85</v>
      </c>
      <c r="D24" s="2">
        <v>40000</v>
      </c>
      <c r="E24" t="s">
        <v>67</v>
      </c>
      <c r="G24" s="3">
        <f>D24</f>
        <v>40000</v>
      </c>
    </row>
    <row r="25" spans="1:8" x14ac:dyDescent="0.25">
      <c r="G25" s="2">
        <f>SUM(G17:G24)</f>
        <v>1054000</v>
      </c>
      <c r="H25" t="s">
        <v>38</v>
      </c>
    </row>
    <row r="26" spans="1:8" x14ac:dyDescent="0.25">
      <c r="A26" t="s">
        <v>12</v>
      </c>
    </row>
    <row r="28" spans="1:8" x14ac:dyDescent="0.25">
      <c r="B28" t="s">
        <v>13</v>
      </c>
      <c r="D28" s="2">
        <v>7000</v>
      </c>
      <c r="E28" t="s">
        <v>11</v>
      </c>
      <c r="G28" s="2">
        <f>D28*D4</f>
        <v>70000</v>
      </c>
    </row>
    <row r="29" spans="1:8" x14ac:dyDescent="0.25">
      <c r="B29" t="s">
        <v>16</v>
      </c>
      <c r="D29" s="2">
        <f>D8*D9*4</f>
        <v>14000</v>
      </c>
      <c r="E29" t="s">
        <v>17</v>
      </c>
      <c r="G29" s="2">
        <f>D29*D4</f>
        <v>140000</v>
      </c>
    </row>
    <row r="30" spans="1:8" x14ac:dyDescent="0.25">
      <c r="B30" t="s">
        <v>66</v>
      </c>
      <c r="D30" s="2">
        <v>100000</v>
      </c>
      <c r="E30" t="s">
        <v>17</v>
      </c>
      <c r="G30" s="2">
        <f>D30</f>
        <v>100000</v>
      </c>
    </row>
    <row r="31" spans="1:8" x14ac:dyDescent="0.25">
      <c r="D31" s="2">
        <f>D30/8</f>
        <v>12500</v>
      </c>
    </row>
    <row r="33" spans="1:18" x14ac:dyDescent="0.25">
      <c r="B33" s="13" t="s">
        <v>26</v>
      </c>
      <c r="C33" s="13"/>
      <c r="H33" s="6"/>
    </row>
    <row r="34" spans="1:18" x14ac:dyDescent="0.25">
      <c r="B34" s="4"/>
      <c r="C34" s="4"/>
      <c r="D34" s="5"/>
      <c r="E34" s="6"/>
      <c r="F34" s="6"/>
      <c r="G34" s="6"/>
    </row>
    <row r="35" spans="1:18" x14ac:dyDescent="0.25">
      <c r="B35" s="4"/>
      <c r="C35" s="4"/>
      <c r="D35" s="7">
        <v>1</v>
      </c>
      <c r="E35" s="7">
        <v>2</v>
      </c>
      <c r="F35" s="7">
        <v>3</v>
      </c>
      <c r="G35" s="7">
        <v>4</v>
      </c>
      <c r="H35" s="7">
        <v>5</v>
      </c>
      <c r="J35" s="47"/>
    </row>
    <row r="36" spans="1:18" x14ac:dyDescent="0.25">
      <c r="B36" s="8" t="s">
        <v>22</v>
      </c>
      <c r="C36" s="8"/>
      <c r="D36" s="9">
        <f>D6*D4</f>
        <v>80</v>
      </c>
      <c r="E36" s="9">
        <f>D36*($D$5+1)</f>
        <v>92</v>
      </c>
      <c r="F36" s="9">
        <f>E36*($D$5+1)</f>
        <v>105.8</v>
      </c>
      <c r="G36" s="9">
        <f>F36*($D$5+1)</f>
        <v>121.66999999999999</v>
      </c>
      <c r="H36" s="9">
        <f>G36*($D$5+1)</f>
        <v>139.92049999999998</v>
      </c>
    </row>
    <row r="37" spans="1:18" x14ac:dyDescent="0.25">
      <c r="B37" s="8" t="s">
        <v>23</v>
      </c>
      <c r="C37" s="8"/>
      <c r="D37" s="11">
        <f>$D$3</f>
        <v>9000</v>
      </c>
      <c r="E37" s="11">
        <f t="shared" ref="E37:H37" si="0">$D$3</f>
        <v>9000</v>
      </c>
      <c r="F37" s="11">
        <f t="shared" si="0"/>
        <v>9000</v>
      </c>
      <c r="G37" s="11">
        <f t="shared" si="0"/>
        <v>9000</v>
      </c>
      <c r="H37" s="11">
        <f t="shared" si="0"/>
        <v>9000</v>
      </c>
    </row>
    <row r="38" spans="1:18" x14ac:dyDescent="0.25">
      <c r="B38" s="8" t="s">
        <v>24</v>
      </c>
      <c r="C38" s="8"/>
      <c r="D38" s="11">
        <f>D36*D37</f>
        <v>720000</v>
      </c>
      <c r="E38" s="11">
        <f t="shared" ref="E38:G38" si="1">E36*E37</f>
        <v>828000</v>
      </c>
      <c r="F38" s="11">
        <f t="shared" si="1"/>
        <v>952200</v>
      </c>
      <c r="G38" s="11">
        <f t="shared" si="1"/>
        <v>1095030</v>
      </c>
      <c r="H38" s="11">
        <f>H36*H37</f>
        <v>1259284.4999999998</v>
      </c>
    </row>
    <row r="39" spans="1:18" x14ac:dyDescent="0.25">
      <c r="A39" s="39"/>
      <c r="B39" s="8" t="s">
        <v>95</v>
      </c>
      <c r="C39" s="18">
        <v>0.03</v>
      </c>
      <c r="D39" s="11">
        <f>$C$39*D38</f>
        <v>21600</v>
      </c>
      <c r="E39" s="11">
        <f>$C$39*E38</f>
        <v>24840</v>
      </c>
      <c r="F39" s="11">
        <f>$C$39*F38</f>
        <v>28566</v>
      </c>
      <c r="G39" s="11">
        <f>$C$39*G38</f>
        <v>32850.9</v>
      </c>
      <c r="H39" s="11">
        <f>$C$39*H38</f>
        <v>37778.534999999989</v>
      </c>
      <c r="J39" s="2">
        <f>E38-D38</f>
        <v>108000</v>
      </c>
      <c r="K39" s="2">
        <f>F38-E38</f>
        <v>124200</v>
      </c>
    </row>
    <row r="40" spans="1:18" x14ac:dyDescent="0.25">
      <c r="B40" s="8" t="s">
        <v>68</v>
      </c>
      <c r="C40" s="14">
        <v>0</v>
      </c>
      <c r="D40" s="33">
        <f>D38+D39</f>
        <v>741600</v>
      </c>
      <c r="E40" s="33">
        <f t="shared" ref="E40:G40" si="2">E38+E39</f>
        <v>852840</v>
      </c>
      <c r="F40" s="33">
        <f t="shared" si="2"/>
        <v>980766</v>
      </c>
      <c r="G40" s="33">
        <f t="shared" si="2"/>
        <v>1127880.8999999999</v>
      </c>
      <c r="H40" s="33">
        <f>H38+H39</f>
        <v>1297063.0349999997</v>
      </c>
    </row>
    <row r="42" spans="1:18" x14ac:dyDescent="0.25">
      <c r="B42" s="12" t="s">
        <v>27</v>
      </c>
      <c r="C42" s="12"/>
    </row>
    <row r="43" spans="1:18" x14ac:dyDescent="0.25">
      <c r="D43" s="16">
        <v>0</v>
      </c>
      <c r="E43" s="16">
        <v>1</v>
      </c>
      <c r="F43" s="16">
        <v>2</v>
      </c>
      <c r="G43" s="16">
        <v>3</v>
      </c>
      <c r="H43" s="16">
        <v>4</v>
      </c>
      <c r="I43" s="16">
        <v>5</v>
      </c>
    </row>
    <row r="44" spans="1:18" x14ac:dyDescent="0.25">
      <c r="B44" s="13" t="s">
        <v>29</v>
      </c>
      <c r="D44" s="15">
        <f>SUM(D45:D47,D53)</f>
        <v>1086000</v>
      </c>
      <c r="H44" s="2"/>
      <c r="I44" s="2"/>
    </row>
    <row r="45" spans="1:18" x14ac:dyDescent="0.25">
      <c r="C45" t="s">
        <v>8</v>
      </c>
      <c r="D45" s="15">
        <f>D17</f>
        <v>60000</v>
      </c>
      <c r="E45" s="2"/>
      <c r="F45" s="2"/>
      <c r="G45" s="2"/>
      <c r="H45" s="2"/>
      <c r="I45" s="2"/>
    </row>
    <row r="46" spans="1:18" x14ac:dyDescent="0.25">
      <c r="C46" t="s">
        <v>15</v>
      </c>
      <c r="D46" s="15">
        <f>D23</f>
        <v>450000</v>
      </c>
      <c r="E46" s="2"/>
      <c r="F46" s="2"/>
      <c r="G46" s="2"/>
      <c r="H46" s="2"/>
      <c r="I46" s="2"/>
    </row>
    <row r="47" spans="1:18" x14ac:dyDescent="0.25">
      <c r="B47" s="48"/>
      <c r="C47" t="s">
        <v>28</v>
      </c>
      <c r="D47" s="15">
        <f>SUM(D48:D52)</f>
        <v>504000</v>
      </c>
      <c r="E47" s="2"/>
      <c r="F47" s="2"/>
      <c r="G47" s="2"/>
      <c r="H47" s="2"/>
      <c r="I47" s="2"/>
      <c r="R47">
        <f>40000+10800+12420+14283+16425</f>
        <v>93928</v>
      </c>
    </row>
    <row r="48" spans="1:18" x14ac:dyDescent="0.25">
      <c r="C48" t="s">
        <v>30</v>
      </c>
      <c r="D48" s="2">
        <f>G18</f>
        <v>230000</v>
      </c>
      <c r="E48" s="2"/>
      <c r="F48" s="2"/>
      <c r="G48" s="2"/>
      <c r="H48" s="2"/>
      <c r="I48" s="2"/>
    </row>
    <row r="49" spans="2:18" x14ac:dyDescent="0.25">
      <c r="C49" t="s">
        <v>31</v>
      </c>
      <c r="D49" s="2">
        <f>G19</f>
        <v>84000</v>
      </c>
      <c r="E49" s="2"/>
      <c r="F49" s="2"/>
      <c r="G49" s="2"/>
      <c r="H49" s="2"/>
      <c r="I49" s="2"/>
    </row>
    <row r="50" spans="2:18" x14ac:dyDescent="0.25">
      <c r="C50" t="s">
        <v>32</v>
      </c>
      <c r="D50" s="2">
        <f>G20</f>
        <v>90000</v>
      </c>
      <c r="E50" s="2"/>
      <c r="F50" s="2"/>
      <c r="G50" s="2"/>
      <c r="H50" s="2"/>
      <c r="I50" s="2"/>
    </row>
    <row r="51" spans="2:18" x14ac:dyDescent="0.25">
      <c r="C51" t="s">
        <v>35</v>
      </c>
      <c r="D51" s="2">
        <f>G21</f>
        <v>80000</v>
      </c>
      <c r="E51" s="2"/>
      <c r="F51" s="2"/>
      <c r="G51" s="2"/>
      <c r="H51" s="2"/>
      <c r="I51" s="2"/>
    </row>
    <row r="52" spans="2:18" x14ac:dyDescent="0.25">
      <c r="C52" t="s">
        <v>33</v>
      </c>
      <c r="D52" s="2">
        <f>G22</f>
        <v>20000</v>
      </c>
      <c r="E52" s="2"/>
      <c r="F52" s="2"/>
      <c r="G52" s="2"/>
      <c r="H52" s="2"/>
      <c r="I52" s="2"/>
    </row>
    <row r="53" spans="2:18" x14ac:dyDescent="0.25">
      <c r="C53" t="s">
        <v>82</v>
      </c>
      <c r="D53" s="2">
        <v>72000</v>
      </c>
      <c r="E53" s="2"/>
      <c r="F53" s="2"/>
      <c r="G53" s="2"/>
      <c r="H53" s="2"/>
      <c r="I53" s="2"/>
    </row>
    <row r="54" spans="2:18" x14ac:dyDescent="0.25">
      <c r="E54" s="2"/>
      <c r="F54" s="2"/>
      <c r="G54" s="2"/>
      <c r="H54" s="2"/>
      <c r="I54" s="2"/>
    </row>
    <row r="55" spans="2:18" x14ac:dyDescent="0.25">
      <c r="E55" s="2"/>
      <c r="F55" s="2"/>
      <c r="G55" s="2"/>
    </row>
    <row r="56" spans="2:18" x14ac:dyDescent="0.25">
      <c r="B56" s="13" t="s">
        <v>36</v>
      </c>
      <c r="E56" s="15">
        <f>SUM(E57:E58)</f>
        <v>210000</v>
      </c>
      <c r="F56" s="15">
        <f>SUM(F57:F58)</f>
        <v>210000</v>
      </c>
      <c r="G56" s="15">
        <f>SUM(G57:G58)</f>
        <v>210000</v>
      </c>
      <c r="H56" s="15">
        <f>SUM(H57:H58)</f>
        <v>210000</v>
      </c>
      <c r="I56" s="15">
        <f>SUM(I57:I58)</f>
        <v>210000</v>
      </c>
    </row>
    <row r="57" spans="2:18" x14ac:dyDescent="0.25">
      <c r="C57" t="s">
        <v>32</v>
      </c>
      <c r="E57" s="2">
        <f>$G$28</f>
        <v>70000</v>
      </c>
      <c r="F57" s="2">
        <f>$G$28</f>
        <v>70000</v>
      </c>
      <c r="G57" s="2">
        <f>$G$28</f>
        <v>70000</v>
      </c>
      <c r="H57" s="2">
        <f>$G$28</f>
        <v>70000</v>
      </c>
      <c r="I57" s="2">
        <f>$G$28</f>
        <v>70000</v>
      </c>
    </row>
    <row r="58" spans="2:18" x14ac:dyDescent="0.25">
      <c r="C58" t="s">
        <v>31</v>
      </c>
      <c r="E58" s="2">
        <f>$G$29</f>
        <v>140000</v>
      </c>
      <c r="F58" s="2">
        <f>$G$29</f>
        <v>140000</v>
      </c>
      <c r="G58" s="2">
        <f>$G$29</f>
        <v>140000</v>
      </c>
      <c r="H58" s="2">
        <f>$G$29</f>
        <v>140000</v>
      </c>
      <c r="I58" s="2">
        <f>$G$29</f>
        <v>140000</v>
      </c>
      <c r="L58" s="13" t="s">
        <v>82</v>
      </c>
    </row>
    <row r="59" spans="2:18" x14ac:dyDescent="0.25">
      <c r="M59">
        <v>0</v>
      </c>
      <c r="N59">
        <v>1</v>
      </c>
      <c r="O59">
        <v>2</v>
      </c>
      <c r="P59">
        <v>3</v>
      </c>
      <c r="Q59">
        <v>4</v>
      </c>
      <c r="R59">
        <v>5</v>
      </c>
    </row>
    <row r="60" spans="2:18" x14ac:dyDescent="0.25">
      <c r="B60" s="13" t="s">
        <v>37</v>
      </c>
      <c r="E60" s="2">
        <f>$G$30</f>
        <v>100000</v>
      </c>
      <c r="F60" s="2">
        <f>$G$30</f>
        <v>100000</v>
      </c>
      <c r="G60" s="2">
        <f>$G$30</f>
        <v>100000</v>
      </c>
      <c r="H60" s="2">
        <f>$G$30</f>
        <v>100000</v>
      </c>
      <c r="I60" s="2">
        <f>$G$30</f>
        <v>100000</v>
      </c>
      <c r="L60" t="s">
        <v>82</v>
      </c>
      <c r="M60" s="2">
        <f>D53</f>
        <v>72000</v>
      </c>
      <c r="N60" s="2">
        <f>M60+0.1*(E38-D38)</f>
        <v>82800</v>
      </c>
      <c r="O60" s="2">
        <f>N60+0.1*(F38-E38)</f>
        <v>95220</v>
      </c>
      <c r="P60" s="2">
        <f t="shared" ref="P60:Q60" si="3">O60+0.1*(G38-F38)</f>
        <v>109503</v>
      </c>
      <c r="Q60" s="2">
        <f t="shared" si="3"/>
        <v>125928.44999999998</v>
      </c>
      <c r="R60" s="2"/>
    </row>
    <row r="61" spans="2:18" x14ac:dyDescent="0.25">
      <c r="L61" t="s">
        <v>83</v>
      </c>
      <c r="M61" s="2">
        <f>$D$13*(D38-0)</f>
        <v>72000</v>
      </c>
      <c r="N61" s="2">
        <f>(E38-D38)*0.1</f>
        <v>10800</v>
      </c>
      <c r="O61" s="2">
        <f t="shared" ref="O61:Q61" si="4">(F38-E38)*0.1</f>
        <v>12420</v>
      </c>
      <c r="P61" s="2">
        <f t="shared" si="4"/>
        <v>14283</v>
      </c>
      <c r="Q61" s="2">
        <f t="shared" si="4"/>
        <v>16425.449999999979</v>
      </c>
      <c r="R61" s="2">
        <f>SUM(N61:Q61)+M61</f>
        <v>125928.44999999998</v>
      </c>
    </row>
    <row r="62" spans="2:18" x14ac:dyDescent="0.25">
      <c r="B62" s="13" t="s">
        <v>70</v>
      </c>
      <c r="E62" s="15">
        <f>SUM(E63:E65)</f>
        <v>42600</v>
      </c>
      <c r="F62" s="15">
        <f>SUM(F63:F65)</f>
        <v>46980</v>
      </c>
      <c r="G62" s="15">
        <f>SUM(G63:G65)</f>
        <v>51927</v>
      </c>
      <c r="H62" s="15">
        <f>SUM(H63:H65)</f>
        <v>57526.05</v>
      </c>
      <c r="I62" s="15">
        <f>SUM(I63:I65)</f>
        <v>63274.957499999997</v>
      </c>
    </row>
    <row r="63" spans="2:18" ht="15.75" x14ac:dyDescent="0.25">
      <c r="C63" t="s">
        <v>71</v>
      </c>
      <c r="E63" s="2">
        <f>$D$10*ROUNDUP(D36/20,0)</f>
        <v>2400</v>
      </c>
      <c r="F63" s="2">
        <f>$D$10*ROUNDUP(E36/20,0)</f>
        <v>3000</v>
      </c>
      <c r="G63" s="2">
        <f>$D$10*ROUNDUP(F36/20,0)</f>
        <v>3600</v>
      </c>
      <c r="H63" s="2">
        <f>$D$10*ROUNDUP(G36/20,0)</f>
        <v>4200</v>
      </c>
      <c r="I63" s="2">
        <f>$D$10*ROUNDUP(H36/20,0)</f>
        <v>4200</v>
      </c>
      <c r="L63" s="26"/>
    </row>
    <row r="64" spans="2:18" ht="15.75" x14ac:dyDescent="0.25">
      <c r="C64" t="s">
        <v>76</v>
      </c>
      <c r="E64" s="2">
        <f>$D$11</f>
        <v>15000</v>
      </c>
      <c r="F64" s="2">
        <f t="shared" ref="F64:I64" si="5">$D$11</f>
        <v>15000</v>
      </c>
      <c r="G64" s="2">
        <f t="shared" si="5"/>
        <v>15000</v>
      </c>
      <c r="H64" s="2">
        <f t="shared" si="5"/>
        <v>15000</v>
      </c>
      <c r="I64" s="2">
        <f t="shared" si="5"/>
        <v>15000</v>
      </c>
      <c r="L64" s="26"/>
    </row>
    <row r="65" spans="1:24" ht="15.75" x14ac:dyDescent="0.25">
      <c r="C65" s="21" t="s">
        <v>77</v>
      </c>
      <c r="D65" s="21"/>
      <c r="E65" s="24">
        <f>$D$12*D38</f>
        <v>25200.000000000004</v>
      </c>
      <c r="F65" s="24">
        <f>$D$12*E38</f>
        <v>28980.000000000004</v>
      </c>
      <c r="G65" s="24">
        <f>$D$12*F38</f>
        <v>33327</v>
      </c>
      <c r="H65" s="24">
        <f>$D$12*G38</f>
        <v>38326.050000000003</v>
      </c>
      <c r="I65" s="24">
        <f>$D$12*H38</f>
        <v>44074.957499999997</v>
      </c>
      <c r="L65" s="26" t="s">
        <v>39</v>
      </c>
    </row>
    <row r="66" spans="1:24" x14ac:dyDescent="0.25">
      <c r="C66" s="13"/>
    </row>
    <row r="67" spans="1:24" x14ac:dyDescent="0.25">
      <c r="L67" s="14" t="s">
        <v>40</v>
      </c>
      <c r="M67" s="17">
        <f>30%*D44</f>
        <v>325800</v>
      </c>
      <c r="O67" t="s">
        <v>79</v>
      </c>
      <c r="P67" s="10">
        <v>0.15</v>
      </c>
    </row>
    <row r="68" spans="1:24" x14ac:dyDescent="0.25">
      <c r="L68" s="14" t="s">
        <v>80</v>
      </c>
      <c r="M68" s="35">
        <f>POWER(1+P67,1/M69)-1</f>
        <v>5.8404033045467152E-3</v>
      </c>
      <c r="N68" s="10"/>
    </row>
    <row r="69" spans="1:24" x14ac:dyDescent="0.25">
      <c r="L69" s="14" t="s">
        <v>41</v>
      </c>
      <c r="M69" s="14">
        <v>24</v>
      </c>
    </row>
    <row r="70" spans="1:24" x14ac:dyDescent="0.25">
      <c r="B70" s="13" t="s">
        <v>107</v>
      </c>
    </row>
    <row r="71" spans="1:24" x14ac:dyDescent="0.25">
      <c r="D71" s="45"/>
      <c r="E71" s="16">
        <v>1</v>
      </c>
      <c r="F71" s="16">
        <v>2</v>
      </c>
      <c r="G71" s="16">
        <v>3</v>
      </c>
      <c r="H71" s="16">
        <v>4</v>
      </c>
      <c r="I71" s="16">
        <v>5</v>
      </c>
    </row>
    <row r="72" spans="1:24" ht="32.25" customHeight="1" x14ac:dyDescent="0.25">
      <c r="B72">
        <v>1</v>
      </c>
      <c r="C72" s="28" t="s">
        <v>24</v>
      </c>
      <c r="D72" s="21"/>
      <c r="E72" s="2">
        <f>D40</f>
        <v>741600</v>
      </c>
      <c r="F72" s="2">
        <f>E40</f>
        <v>852840</v>
      </c>
      <c r="G72" s="2">
        <f>F40</f>
        <v>980766</v>
      </c>
      <c r="H72" s="2">
        <f>G40</f>
        <v>1127880.8999999999</v>
      </c>
      <c r="I72" s="2">
        <f>H40</f>
        <v>1297063.0349999997</v>
      </c>
      <c r="M72" s="19" t="s">
        <v>78</v>
      </c>
      <c r="N72" s="19" t="s">
        <v>43</v>
      </c>
      <c r="O72" s="19" t="s">
        <v>45</v>
      </c>
      <c r="P72" s="19" t="s">
        <v>44</v>
      </c>
      <c r="Q72" s="19" t="s">
        <v>46</v>
      </c>
      <c r="S72" s="19" t="s">
        <v>42</v>
      </c>
      <c r="T72" s="19" t="s">
        <v>43</v>
      </c>
      <c r="U72" s="19" t="s">
        <v>45</v>
      </c>
      <c r="V72" s="19" t="s">
        <v>44</v>
      </c>
      <c r="W72" s="37"/>
      <c r="X72" s="21"/>
    </row>
    <row r="73" spans="1:24" ht="30.75" customHeight="1" x14ac:dyDescent="0.25">
      <c r="B73">
        <v>2</v>
      </c>
      <c r="C73" s="28" t="s">
        <v>36</v>
      </c>
      <c r="D73" s="21"/>
      <c r="E73" s="24">
        <f>-E56</f>
        <v>-210000</v>
      </c>
      <c r="F73" s="24">
        <f>-F56</f>
        <v>-210000</v>
      </c>
      <c r="G73" s="24">
        <f>-G56</f>
        <v>-210000</v>
      </c>
      <c r="H73" s="24">
        <f>-H56</f>
        <v>-210000</v>
      </c>
      <c r="I73" s="24">
        <f>-I56</f>
        <v>-210000</v>
      </c>
      <c r="M73" s="14">
        <v>0</v>
      </c>
      <c r="N73" s="38">
        <f>M67</f>
        <v>325800</v>
      </c>
      <c r="O73" s="14"/>
      <c r="P73" s="14"/>
      <c r="Q73" s="14"/>
      <c r="S73" s="14">
        <v>1</v>
      </c>
      <c r="T73" s="38">
        <f>N85</f>
        <v>168589.48997734426</v>
      </c>
      <c r="U73" s="38">
        <f>SUM(O74:O85)</f>
        <v>157210.51002265574</v>
      </c>
      <c r="V73" s="38">
        <f>SUM(P74:P85)</f>
        <v>17847.402466506959</v>
      </c>
      <c r="X73" s="21"/>
    </row>
    <row r="74" spans="1:24" ht="15.75" x14ac:dyDescent="0.25">
      <c r="B74">
        <v>3</v>
      </c>
      <c r="C74" s="28" t="s">
        <v>53</v>
      </c>
      <c r="D74" s="21"/>
      <c r="E74" s="24">
        <f>-$W$92</f>
        <v>-10800</v>
      </c>
      <c r="F74" s="24">
        <f t="shared" ref="F74:I74" si="6">-$W$92</f>
        <v>-10800</v>
      </c>
      <c r="G74" s="24">
        <f t="shared" si="6"/>
        <v>-10800</v>
      </c>
      <c r="H74" s="24">
        <f t="shared" si="6"/>
        <v>-10800</v>
      </c>
      <c r="I74" s="24">
        <f t="shared" si="6"/>
        <v>-10800</v>
      </c>
      <c r="M74" s="20">
        <v>1</v>
      </c>
      <c r="N74" s="17">
        <f t="shared" ref="N74:N80" si="7">N73-O74</f>
        <v>313114.64402252442</v>
      </c>
      <c r="O74" s="17">
        <f t="shared" ref="O74:O80" si="8">Q74-P74</f>
        <v>12685.35597747557</v>
      </c>
      <c r="P74" s="17">
        <f>M67*$M$68</f>
        <v>1902.8033966213197</v>
      </c>
      <c r="Q74" s="17">
        <f>-PMT($M$68,$M$69,$M$67)</f>
        <v>14588.159374096891</v>
      </c>
      <c r="S74" s="14">
        <v>2</v>
      </c>
      <c r="T74" s="38">
        <f>N97</f>
        <v>3.637978807091713E-11</v>
      </c>
      <c r="U74" s="38">
        <f>SUM(O86:O97)</f>
        <v>168589.4899773442</v>
      </c>
      <c r="V74" s="38">
        <f>SUM(P86:P97)</f>
        <v>6468.4225118184959</v>
      </c>
      <c r="X74" s="21"/>
    </row>
    <row r="75" spans="1:24" ht="15.75" x14ac:dyDescent="0.25">
      <c r="B75">
        <v>4</v>
      </c>
      <c r="C75" s="28" t="s">
        <v>94</v>
      </c>
      <c r="D75" s="21"/>
      <c r="E75" s="3">
        <f>-$W$93</f>
        <v>-100800</v>
      </c>
      <c r="F75" s="3">
        <f t="shared" ref="F75:I75" si="9">-$W$93</f>
        <v>-100800</v>
      </c>
      <c r="G75" s="3">
        <f t="shared" si="9"/>
        <v>-100800</v>
      </c>
      <c r="H75" s="3">
        <f t="shared" si="9"/>
        <v>-100800</v>
      </c>
      <c r="I75" s="3">
        <f t="shared" si="9"/>
        <v>-100800</v>
      </c>
      <c r="M75" s="20">
        <v>2</v>
      </c>
      <c r="N75" s="17">
        <f t="shared" si="7"/>
        <v>300355.20045007864</v>
      </c>
      <c r="O75" s="17">
        <f t="shared" si="8"/>
        <v>12759.443572445771</v>
      </c>
      <c r="P75" s="17">
        <f t="shared" ref="P75:P80" si="10">N74*$M$68</f>
        <v>1828.71580165112</v>
      </c>
      <c r="Q75" s="17">
        <f>-PMT($M$68,$M$69,$M$67)</f>
        <v>14588.159374096891</v>
      </c>
      <c r="U75" s="34"/>
      <c r="V75" s="34"/>
      <c r="X75" s="21"/>
    </row>
    <row r="76" spans="1:24" ht="15.75" x14ac:dyDescent="0.25">
      <c r="B76">
        <v>5</v>
      </c>
      <c r="C76" s="28" t="s">
        <v>52</v>
      </c>
      <c r="D76" s="21"/>
      <c r="E76" s="15">
        <f>E72+E73+E74+E75</f>
        <v>420000</v>
      </c>
      <c r="F76" s="15">
        <f t="shared" ref="F76:I76" si="11">F72+F73+F74+F75</f>
        <v>531240</v>
      </c>
      <c r="G76" s="15">
        <f t="shared" si="11"/>
        <v>659166</v>
      </c>
      <c r="H76" s="15">
        <f t="shared" si="11"/>
        <v>806280.89999999991</v>
      </c>
      <c r="I76" s="15">
        <f t="shared" si="11"/>
        <v>975463.03499999968</v>
      </c>
      <c r="M76" s="20">
        <v>3</v>
      </c>
      <c r="N76" s="17">
        <f t="shared" si="7"/>
        <v>287521.23658122821</v>
      </c>
      <c r="O76" s="17">
        <f t="shared" si="8"/>
        <v>12833.96386885046</v>
      </c>
      <c r="P76" s="17">
        <f t="shared" si="10"/>
        <v>1754.1955052464302</v>
      </c>
      <c r="Q76" s="17">
        <f>-PMT($M$68,$M$69,$M$67)</f>
        <v>14588.159374096891</v>
      </c>
      <c r="X76" s="21"/>
    </row>
    <row r="77" spans="1:24" ht="15.75" x14ac:dyDescent="0.25">
      <c r="B77">
        <v>6</v>
      </c>
      <c r="C77" s="28" t="s">
        <v>66</v>
      </c>
      <c r="D77" s="21"/>
      <c r="E77" s="24">
        <f>-$G$30</f>
        <v>-100000</v>
      </c>
      <c r="F77" s="24">
        <f>-$G$30</f>
        <v>-100000</v>
      </c>
      <c r="G77" s="24">
        <f>-$G$30</f>
        <v>-100000</v>
      </c>
      <c r="H77" s="24">
        <f>-$G$30</f>
        <v>-100000</v>
      </c>
      <c r="I77" s="24">
        <f>-$G$30</f>
        <v>-100000</v>
      </c>
      <c r="M77" s="20">
        <v>4</v>
      </c>
      <c r="N77" s="17">
        <f t="shared" si="7"/>
        <v>274612.31718738767</v>
      </c>
      <c r="O77" s="17">
        <f t="shared" si="8"/>
        <v>12908.919393840528</v>
      </c>
      <c r="P77" s="17">
        <f t="shared" si="10"/>
        <v>1679.2399802563632</v>
      </c>
      <c r="Q77" s="17">
        <f>-PMT($M$68,$M$69,$M$67)</f>
        <v>14588.159374096891</v>
      </c>
      <c r="X77" s="21"/>
    </row>
    <row r="78" spans="1:24" ht="15.75" x14ac:dyDescent="0.25">
      <c r="B78">
        <v>7</v>
      </c>
      <c r="C78" s="28" t="s">
        <v>70</v>
      </c>
      <c r="D78" s="21"/>
      <c r="E78" s="3">
        <f>-E62</f>
        <v>-42600</v>
      </c>
      <c r="F78" s="3">
        <f>-F62</f>
        <v>-46980</v>
      </c>
      <c r="G78" s="3">
        <f>-G62</f>
        <v>-51927</v>
      </c>
      <c r="H78" s="3">
        <f>-H62</f>
        <v>-57526.05</v>
      </c>
      <c r="I78" s="3">
        <f>-I62</f>
        <v>-63274.957499999997</v>
      </c>
      <c r="M78" s="20">
        <v>5</v>
      </c>
      <c r="N78" s="17">
        <f t="shared" si="7"/>
        <v>261628.00449806123</v>
      </c>
      <c r="O78" s="17">
        <f t="shared" si="8"/>
        <v>12984.312689326442</v>
      </c>
      <c r="P78" s="17">
        <f t="shared" si="10"/>
        <v>1603.8466847704497</v>
      </c>
      <c r="Q78" s="17">
        <f>-PMT($M$68,$M$69,$M$67)</f>
        <v>14588.159374096891</v>
      </c>
      <c r="X78" s="21"/>
    </row>
    <row r="79" spans="1:24" ht="15.75" x14ac:dyDescent="0.25">
      <c r="A79" s="10">
        <v>0.3</v>
      </c>
      <c r="B79">
        <v>8</v>
      </c>
      <c r="C79" s="28" t="s">
        <v>54</v>
      </c>
      <c r="D79" s="21"/>
      <c r="E79" s="15">
        <f>E76+E77+E78</f>
        <v>277400</v>
      </c>
      <c r="F79" s="15">
        <f t="shared" ref="F79:I79" si="12">F76+F77+F78</f>
        <v>384260</v>
      </c>
      <c r="G79" s="15">
        <f t="shared" si="12"/>
        <v>507239</v>
      </c>
      <c r="H79" s="15">
        <f t="shared" si="12"/>
        <v>648754.84999999986</v>
      </c>
      <c r="I79" s="15">
        <f t="shared" si="12"/>
        <v>812188.07749999966</v>
      </c>
      <c r="M79" s="20">
        <v>6</v>
      </c>
      <c r="N79" s="17">
        <f t="shared" si="7"/>
        <v>248567.85818599677</v>
      </c>
      <c r="O79" s="17">
        <f t="shared" si="8"/>
        <v>13060.146312064451</v>
      </c>
      <c r="P79" s="17">
        <f t="shared" si="10"/>
        <v>1528.0130620324396</v>
      </c>
      <c r="Q79" s="17">
        <f t="shared" ref="Q79:Q97" si="13">-PMT($M$68,$M$69,$M$67)</f>
        <v>14588.159374096891</v>
      </c>
    </row>
    <row r="80" spans="1:24" ht="15.75" x14ac:dyDescent="0.25">
      <c r="B80">
        <v>9</v>
      </c>
      <c r="C80" s="28" t="s">
        <v>55</v>
      </c>
      <c r="D80" s="21"/>
      <c r="E80" s="3">
        <f>-E79*$A$79</f>
        <v>-83220</v>
      </c>
      <c r="F80" s="3">
        <f>-F79*$A$79</f>
        <v>-115278</v>
      </c>
      <c r="G80" s="3">
        <f>-G79*$A$79</f>
        <v>-152171.69999999998</v>
      </c>
      <c r="H80" s="3">
        <f>-H79*$A$79</f>
        <v>-194626.45499999996</v>
      </c>
      <c r="I80" s="3">
        <f>-I79*$A$79</f>
        <v>-243656.42324999988</v>
      </c>
      <c r="M80" s="20">
        <v>7</v>
      </c>
      <c r="N80" s="17">
        <f t="shared" si="7"/>
        <v>235431.43535225347</v>
      </c>
      <c r="O80" s="17">
        <f t="shared" si="8"/>
        <v>13136.422833743296</v>
      </c>
      <c r="P80" s="17">
        <f t="shared" si="10"/>
        <v>1451.7365403535948</v>
      </c>
      <c r="Q80" s="17">
        <f t="shared" si="13"/>
        <v>14588.159374096891</v>
      </c>
      <c r="R80" s="21"/>
    </row>
    <row r="81" spans="2:24" ht="15.75" x14ac:dyDescent="0.25">
      <c r="B81">
        <v>10</v>
      </c>
      <c r="C81" s="28" t="s">
        <v>56</v>
      </c>
      <c r="D81" s="21"/>
      <c r="E81" s="15">
        <f>E79+E80</f>
        <v>194180</v>
      </c>
      <c r="F81" s="15">
        <f t="shared" ref="F81:I81" si="14">F79+F80</f>
        <v>268982</v>
      </c>
      <c r="G81" s="15">
        <f t="shared" si="14"/>
        <v>355067.30000000005</v>
      </c>
      <c r="H81" s="15">
        <f t="shared" si="14"/>
        <v>454128.3949999999</v>
      </c>
      <c r="I81" s="15">
        <f t="shared" si="14"/>
        <v>568531.65424999979</v>
      </c>
      <c r="M81" s="20">
        <v>8</v>
      </c>
      <c r="N81" s="17">
        <f t="shared" ref="N81:N97" si="15">N80-O81</f>
        <v>222218.29051118204</v>
      </c>
      <c r="O81" s="17">
        <f t="shared" ref="O81:O97" si="16">Q81-P81</f>
        <v>13213.144841071413</v>
      </c>
      <c r="P81" s="17">
        <f t="shared" ref="P81:P97" si="17">N80*$M$68</f>
        <v>1375.0145330254775</v>
      </c>
      <c r="Q81" s="17">
        <f t="shared" si="13"/>
        <v>14588.159374096891</v>
      </c>
      <c r="R81" s="21"/>
    </row>
    <row r="82" spans="2:24" x14ac:dyDescent="0.25">
      <c r="M82" s="20">
        <v>9</v>
      </c>
      <c r="N82" s="17">
        <f>N81-O82</f>
        <v>208927.9755753174</v>
      </c>
      <c r="O82" s="17">
        <f t="shared" si="16"/>
        <v>13290.314935864662</v>
      </c>
      <c r="P82" s="17">
        <f>N81*$M$68</f>
        <v>1297.8444382322295</v>
      </c>
      <c r="Q82" s="17">
        <f t="shared" si="13"/>
        <v>14588.159374096891</v>
      </c>
      <c r="R82" s="21"/>
      <c r="S82" s="34"/>
    </row>
    <row r="83" spans="2:24" x14ac:dyDescent="0.25">
      <c r="M83" s="20">
        <v>10</v>
      </c>
      <c r="N83" s="17">
        <f t="shared" si="15"/>
        <v>195560.03984018284</v>
      </c>
      <c r="O83" s="17">
        <f t="shared" si="16"/>
        <v>13367.935735134552</v>
      </c>
      <c r="P83" s="17">
        <f t="shared" si="17"/>
        <v>1220.223638962339</v>
      </c>
      <c r="Q83" s="17">
        <f t="shared" si="13"/>
        <v>14588.159374096891</v>
      </c>
      <c r="R83" s="21"/>
    </row>
    <row r="84" spans="2:24" x14ac:dyDescent="0.25">
      <c r="M84" s="20">
        <v>11</v>
      </c>
      <c r="N84" s="17">
        <f t="shared" si="15"/>
        <v>182114.02996900585</v>
      </c>
      <c r="O84" s="17">
        <f t="shared" si="16"/>
        <v>13446.009871177001</v>
      </c>
      <c r="P84" s="17">
        <f t="shared" si="17"/>
        <v>1142.1495029198911</v>
      </c>
      <c r="Q84" s="17">
        <f t="shared" si="13"/>
        <v>14588.159374096891</v>
      </c>
      <c r="R84" s="21"/>
    </row>
    <row r="85" spans="2:24" x14ac:dyDescent="0.25">
      <c r="M85" s="20">
        <v>12</v>
      </c>
      <c r="N85" s="17">
        <f t="shared" si="15"/>
        <v>168589.48997734426</v>
      </c>
      <c r="O85" s="17">
        <f t="shared" si="16"/>
        <v>13524.53999166159</v>
      </c>
      <c r="P85" s="17">
        <f t="shared" si="17"/>
        <v>1063.6193824353013</v>
      </c>
      <c r="Q85" s="17">
        <f t="shared" si="13"/>
        <v>14588.159374096891</v>
      </c>
      <c r="R85" s="21"/>
    </row>
    <row r="86" spans="2:24" x14ac:dyDescent="0.25">
      <c r="B86" s="13" t="s">
        <v>58</v>
      </c>
      <c r="M86" s="20">
        <v>13</v>
      </c>
      <c r="N86" s="17">
        <f t="shared" si="15"/>
        <v>154985.96121762288</v>
      </c>
      <c r="O86" s="17">
        <f t="shared" si="16"/>
        <v>13603.528759721365</v>
      </c>
      <c r="P86" s="17">
        <f t="shared" si="17"/>
        <v>984.63061437552676</v>
      </c>
      <c r="Q86" s="17">
        <f t="shared" si="13"/>
        <v>14588.159374096891</v>
      </c>
      <c r="R86" s="21"/>
    </row>
    <row r="87" spans="2:24" x14ac:dyDescent="0.25">
      <c r="D87" s="16">
        <v>0</v>
      </c>
      <c r="E87" s="16">
        <v>1</v>
      </c>
      <c r="F87" s="16">
        <v>2</v>
      </c>
      <c r="G87" s="16">
        <v>3</v>
      </c>
      <c r="H87" s="16">
        <v>4</v>
      </c>
      <c r="I87" s="16">
        <v>5</v>
      </c>
      <c r="M87" s="20">
        <v>14</v>
      </c>
      <c r="N87" s="17">
        <f t="shared" si="15"/>
        <v>141302.98236357974</v>
      </c>
      <c r="O87" s="17">
        <f t="shared" si="16"/>
        <v>13682.978854043136</v>
      </c>
      <c r="P87" s="17">
        <f t="shared" si="17"/>
        <v>905.18052005375375</v>
      </c>
      <c r="Q87" s="17">
        <f t="shared" si="13"/>
        <v>14588.159374096891</v>
      </c>
    </row>
    <row r="88" spans="2:24" ht="15.75" x14ac:dyDescent="0.25">
      <c r="C88" t="s">
        <v>56</v>
      </c>
      <c r="E88" s="46">
        <f>E81</f>
        <v>194180</v>
      </c>
      <c r="F88" s="46">
        <f>F81</f>
        <v>268982</v>
      </c>
      <c r="G88" s="46">
        <f>G81</f>
        <v>355067.30000000005</v>
      </c>
      <c r="H88" s="46">
        <f>H81</f>
        <v>454128.3949999999</v>
      </c>
      <c r="I88" s="46">
        <f>I81</f>
        <v>568531.65424999979</v>
      </c>
      <c r="M88" s="20">
        <v>15</v>
      </c>
      <c r="N88" s="17">
        <f t="shared" si="15"/>
        <v>127540.08939462141</v>
      </c>
      <c r="O88" s="17">
        <f t="shared" si="16"/>
        <v>13762.892968958335</v>
      </c>
      <c r="P88" s="17">
        <f t="shared" si="17"/>
        <v>825.26640513855727</v>
      </c>
      <c r="Q88" s="17">
        <f t="shared" si="13"/>
        <v>14588.159374096891</v>
      </c>
      <c r="S88" s="26" t="s">
        <v>47</v>
      </c>
      <c r="T88" s="21"/>
      <c r="U88" s="21"/>
      <c r="V88" s="21"/>
      <c r="W88" s="21"/>
    </row>
    <row r="89" spans="2:24" ht="15.75" x14ac:dyDescent="0.25">
      <c r="C89" t="s">
        <v>53</v>
      </c>
      <c r="D89" s="21"/>
      <c r="E89" s="24">
        <f>-E74</f>
        <v>10800</v>
      </c>
      <c r="F89" s="24">
        <f>-F74</f>
        <v>10800</v>
      </c>
      <c r="G89" s="24">
        <f>-G74</f>
        <v>10800</v>
      </c>
      <c r="H89" s="24">
        <f>-H74</f>
        <v>10800</v>
      </c>
      <c r="I89" s="24">
        <f>-I74</f>
        <v>10800</v>
      </c>
      <c r="M89" s="20">
        <v>16</v>
      </c>
      <c r="N89" s="17">
        <f t="shared" si="15"/>
        <v>113696.81558008704</v>
      </c>
      <c r="O89" s="17">
        <f t="shared" si="16"/>
        <v>13843.273814534361</v>
      </c>
      <c r="P89" s="17">
        <f t="shared" si="17"/>
        <v>744.88555956253037</v>
      </c>
      <c r="Q89" s="17">
        <f t="shared" si="13"/>
        <v>14588.159374096891</v>
      </c>
      <c r="S89" s="26"/>
      <c r="T89" s="21"/>
      <c r="U89" s="21"/>
      <c r="V89" s="21"/>
      <c r="W89" s="21"/>
    </row>
    <row r="90" spans="2:24" ht="15.75" x14ac:dyDescent="0.25">
      <c r="C90" t="s">
        <v>83</v>
      </c>
      <c r="D90" s="21"/>
      <c r="E90" s="24">
        <f>-N61</f>
        <v>-10800</v>
      </c>
      <c r="F90" s="24">
        <f t="shared" ref="F90:H90" si="18">-O61</f>
        <v>-12420</v>
      </c>
      <c r="G90" s="24">
        <f t="shared" si="18"/>
        <v>-14283</v>
      </c>
      <c r="H90" s="24">
        <f t="shared" si="18"/>
        <v>-16425.449999999979</v>
      </c>
      <c r="I90" s="24"/>
      <c r="L90" s="22"/>
      <c r="M90" s="20">
        <v>17</v>
      </c>
      <c r="N90" s="17">
        <f t="shared" si="15"/>
        <v>99772.691463420531</v>
      </c>
      <c r="O90" s="17">
        <f t="shared" si="16"/>
        <v>13924.124116666513</v>
      </c>
      <c r="P90" s="17">
        <f t="shared" si="17"/>
        <v>664.03525743037881</v>
      </c>
      <c r="Q90" s="17">
        <f t="shared" si="13"/>
        <v>14588.159374096891</v>
      </c>
      <c r="S90" s="26" t="s">
        <v>90</v>
      </c>
      <c r="T90" s="40">
        <v>0.1</v>
      </c>
      <c r="U90" s="21"/>
      <c r="V90" s="21"/>
      <c r="W90" s="21"/>
    </row>
    <row r="91" spans="2:24" ht="30" x14ac:dyDescent="0.25">
      <c r="C91" t="s">
        <v>59</v>
      </c>
      <c r="D91" s="24">
        <f>-D44</f>
        <v>-1086000</v>
      </c>
      <c r="E91" s="24"/>
      <c r="F91" s="24"/>
      <c r="G91" s="24"/>
      <c r="H91" s="24"/>
      <c r="I91" s="24"/>
      <c r="M91" s="20">
        <v>18</v>
      </c>
      <c r="N91" s="17">
        <f t="shared" si="15"/>
        <v>85767.24484625012</v>
      </c>
      <c r="O91" s="17">
        <f t="shared" si="16"/>
        <v>14005.44661717041</v>
      </c>
      <c r="P91" s="17">
        <f t="shared" si="17"/>
        <v>582.71275692648112</v>
      </c>
      <c r="Q91" s="17">
        <f t="shared" si="13"/>
        <v>14588.159374096891</v>
      </c>
      <c r="S91" s="56" t="s">
        <v>48</v>
      </c>
      <c r="T91" s="57"/>
      <c r="U91" s="19" t="s">
        <v>49</v>
      </c>
      <c r="V91" s="19" t="s">
        <v>50</v>
      </c>
      <c r="W91" s="19" t="s">
        <v>51</v>
      </c>
      <c r="X91" s="41" t="s">
        <v>87</v>
      </c>
    </row>
    <row r="92" spans="2:24" x14ac:dyDescent="0.25">
      <c r="C92" t="s">
        <v>84</v>
      </c>
      <c r="D92" s="24"/>
      <c r="E92" s="24"/>
      <c r="F92" s="24"/>
      <c r="G92" s="24"/>
      <c r="H92" s="24"/>
      <c r="I92" s="24">
        <f>R61</f>
        <v>125928.44999999998</v>
      </c>
      <c r="J92" s="21"/>
      <c r="K92" s="21"/>
      <c r="M92" s="20">
        <v>19</v>
      </c>
      <c r="N92" s="17">
        <f t="shared" si="15"/>
        <v>71680.000772375133</v>
      </c>
      <c r="O92" s="17">
        <f t="shared" si="16"/>
        <v>14087.244073874985</v>
      </c>
      <c r="P92" s="17">
        <f t="shared" si="17"/>
        <v>500.91530022190642</v>
      </c>
      <c r="Q92" s="17">
        <f t="shared" si="13"/>
        <v>14588.159374096891</v>
      </c>
      <c r="S92" s="58" t="s">
        <v>8</v>
      </c>
      <c r="T92" s="58"/>
      <c r="U92" s="17">
        <f>D17</f>
        <v>60000</v>
      </c>
      <c r="V92" s="20">
        <v>5</v>
      </c>
      <c r="W92" s="20">
        <f>(U92-X92)/V92</f>
        <v>10800</v>
      </c>
      <c r="X92" s="14">
        <f>U92*T90</f>
        <v>6000</v>
      </c>
    </row>
    <row r="93" spans="2:24" x14ac:dyDescent="0.25">
      <c r="C93" t="s">
        <v>87</v>
      </c>
      <c r="D93" s="3"/>
      <c r="E93" s="3"/>
      <c r="F93" s="3"/>
      <c r="G93" s="3"/>
      <c r="H93" s="3"/>
      <c r="I93" s="3">
        <f>D46+X92</f>
        <v>456000</v>
      </c>
      <c r="J93" s="21"/>
      <c r="K93" s="21"/>
      <c r="M93" s="20">
        <v>20</v>
      </c>
      <c r="N93" s="17">
        <f t="shared" si="15"/>
        <v>57510.481511659134</v>
      </c>
      <c r="O93" s="17">
        <f t="shared" si="16"/>
        <v>14169.519260716001</v>
      </c>
      <c r="P93" s="17">
        <f t="shared" si="17"/>
        <v>418.64011338089085</v>
      </c>
      <c r="Q93" s="17">
        <f t="shared" si="13"/>
        <v>14588.159374096891</v>
      </c>
      <c r="S93" s="59" t="s">
        <v>93</v>
      </c>
      <c r="T93" s="60"/>
      <c r="U93" s="53">
        <f>D47</f>
        <v>504000</v>
      </c>
      <c r="V93" s="54">
        <v>5</v>
      </c>
      <c r="W93" s="53">
        <f>U93/V93</f>
        <v>100800</v>
      </c>
      <c r="X93" s="55"/>
    </row>
    <row r="94" spans="2:24" ht="15" customHeight="1" x14ac:dyDescent="0.25">
      <c r="C94" s="26" t="s">
        <v>57</v>
      </c>
      <c r="D94" s="27">
        <f>D91</f>
        <v>-1086000</v>
      </c>
      <c r="E94" s="27">
        <f>E88+E89+E90</f>
        <v>194180</v>
      </c>
      <c r="F94" s="27">
        <f t="shared" ref="F94:H94" si="19">F88+F89+F90</f>
        <v>267362</v>
      </c>
      <c r="G94" s="27">
        <f t="shared" si="19"/>
        <v>351584.30000000005</v>
      </c>
      <c r="H94" s="27">
        <f t="shared" si="19"/>
        <v>448502.94499999995</v>
      </c>
      <c r="I94" s="27">
        <f>I88+I89+I92+I93</f>
        <v>1161260.1042499999</v>
      </c>
      <c r="J94" s="21"/>
      <c r="K94" s="21"/>
      <c r="M94" s="20">
        <v>21</v>
      </c>
      <c r="N94" s="17">
        <f t="shared" si="15"/>
        <v>43258.206543829008</v>
      </c>
      <c r="O94" s="17">
        <f t="shared" si="16"/>
        <v>14252.274967830124</v>
      </c>
      <c r="P94" s="17">
        <f t="shared" si="17"/>
        <v>335.8844062667668</v>
      </c>
      <c r="Q94" s="17">
        <f t="shared" si="13"/>
        <v>14588.159374096891</v>
      </c>
      <c r="S94" s="61"/>
      <c r="T94" s="62"/>
      <c r="U94" s="53"/>
      <c r="V94" s="54"/>
      <c r="W94" s="53"/>
      <c r="X94" s="55"/>
    </row>
    <row r="95" spans="2:24" ht="15.75" x14ac:dyDescent="0.25">
      <c r="C95" s="26"/>
      <c r="D95" s="27"/>
      <c r="E95" s="27"/>
      <c r="F95" s="27"/>
      <c r="G95" s="27"/>
      <c r="H95" s="27"/>
      <c r="I95" s="27"/>
      <c r="J95" s="21"/>
      <c r="K95" s="21"/>
      <c r="M95" s="20">
        <v>22</v>
      </c>
      <c r="N95" s="17">
        <f t="shared" si="15"/>
        <v>28922.692542179459</v>
      </c>
      <c r="O95" s="17">
        <f t="shared" si="16"/>
        <v>14335.514001649548</v>
      </c>
      <c r="P95" s="17">
        <f t="shared" si="17"/>
        <v>252.64537244734328</v>
      </c>
      <c r="Q95" s="17">
        <f t="shared" si="13"/>
        <v>14588.159374096891</v>
      </c>
    </row>
    <row r="96" spans="2:24" ht="15.75" x14ac:dyDescent="0.25">
      <c r="C96" s="28" t="s">
        <v>63</v>
      </c>
      <c r="D96" s="52">
        <f>I155</f>
        <v>6.49838</v>
      </c>
      <c r="E96" s="27"/>
      <c r="F96" s="27"/>
      <c r="G96" s="27"/>
      <c r="H96" s="27"/>
      <c r="I96" s="27"/>
      <c r="J96" s="21"/>
      <c r="K96" s="21"/>
      <c r="M96" s="20">
        <v>23</v>
      </c>
      <c r="N96" s="17">
        <f t="shared" si="15"/>
        <v>14503.453357182301</v>
      </c>
      <c r="O96" s="17">
        <f t="shared" si="16"/>
        <v>14419.239184997157</v>
      </c>
      <c r="P96" s="17">
        <f t="shared" si="17"/>
        <v>168.92018909973353</v>
      </c>
      <c r="Q96" s="17">
        <f t="shared" si="13"/>
        <v>14588.159374096891</v>
      </c>
    </row>
    <row r="97" spans="1:17" ht="15.75" x14ac:dyDescent="0.25">
      <c r="A97" s="21"/>
      <c r="B97" s="22"/>
      <c r="C97" s="26" t="s">
        <v>62</v>
      </c>
      <c r="D97" s="24">
        <f>NPV(I155%,E94:I94)+D94</f>
        <v>819431.67055297876</v>
      </c>
      <c r="E97" s="27"/>
      <c r="F97" s="27"/>
      <c r="G97" s="27"/>
      <c r="H97" s="27"/>
      <c r="I97" s="27"/>
      <c r="J97" s="21"/>
      <c r="K97" s="21"/>
      <c r="M97" s="20">
        <v>24</v>
      </c>
      <c r="N97" s="17">
        <f t="shared" si="15"/>
        <v>3.637978807091713E-11</v>
      </c>
      <c r="O97" s="17">
        <f t="shared" si="16"/>
        <v>14503.453357182265</v>
      </c>
      <c r="P97" s="17">
        <f t="shared" si="17"/>
        <v>84.706016914626659</v>
      </c>
      <c r="Q97" s="17">
        <f t="shared" si="13"/>
        <v>14588.159374096891</v>
      </c>
    </row>
    <row r="98" spans="1:17" ht="15.75" x14ac:dyDescent="0.25">
      <c r="A98" s="21"/>
      <c r="B98" s="21"/>
      <c r="C98" s="26" t="s">
        <v>64</v>
      </c>
      <c r="D98" s="67">
        <f>IRR(D94:I94)</f>
        <v>0.24484855013050777</v>
      </c>
      <c r="E98" s="27"/>
      <c r="F98" s="27"/>
      <c r="G98" s="27"/>
      <c r="H98" s="27"/>
      <c r="I98" s="27"/>
      <c r="J98" s="21"/>
      <c r="K98" s="21"/>
    </row>
    <row r="99" spans="1:17" ht="15.75" x14ac:dyDescent="0.25">
      <c r="A99" s="21"/>
      <c r="B99" s="21"/>
      <c r="C99" s="42"/>
      <c r="D99" s="43"/>
      <c r="E99" s="43"/>
      <c r="F99" s="43"/>
      <c r="G99" s="43"/>
      <c r="H99" s="43"/>
      <c r="I99" s="43"/>
      <c r="J99" s="21"/>
      <c r="K99" s="21"/>
      <c r="O99" s="34">
        <f>SUM(O74:O97)</f>
        <v>325800</v>
      </c>
      <c r="P99" s="34">
        <f>SUM(P74:P98)</f>
        <v>24315.824978325458</v>
      </c>
    </row>
    <row r="100" spans="1:17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7" x14ac:dyDescent="0.25">
      <c r="B101" s="13" t="s">
        <v>124</v>
      </c>
      <c r="J101" s="21"/>
      <c r="K101" s="21"/>
    </row>
    <row r="102" spans="1:17" x14ac:dyDescent="0.25">
      <c r="D102" s="45"/>
      <c r="E102" s="16">
        <v>1</v>
      </c>
      <c r="F102" s="16">
        <v>2</v>
      </c>
      <c r="G102" s="16">
        <v>3</v>
      </c>
      <c r="H102" s="16">
        <v>4</v>
      </c>
      <c r="I102" s="16">
        <v>5</v>
      </c>
      <c r="J102" s="21"/>
      <c r="K102" s="21"/>
    </row>
    <row r="103" spans="1:17" ht="15.75" x14ac:dyDescent="0.25">
      <c r="B103">
        <v>1</v>
      </c>
      <c r="C103" s="28" t="s">
        <v>24</v>
      </c>
      <c r="D103" s="21"/>
      <c r="E103" s="2">
        <f t="shared" ref="E103:I106" si="20">E72</f>
        <v>741600</v>
      </c>
      <c r="F103" s="2">
        <f t="shared" si="20"/>
        <v>852840</v>
      </c>
      <c r="G103" s="2">
        <f t="shared" si="20"/>
        <v>980766</v>
      </c>
      <c r="H103" s="2">
        <f t="shared" si="20"/>
        <v>1127880.8999999999</v>
      </c>
      <c r="I103" s="2">
        <f t="shared" si="20"/>
        <v>1297063.0349999997</v>
      </c>
      <c r="K103" s="21"/>
      <c r="M103" t="s">
        <v>91</v>
      </c>
    </row>
    <row r="104" spans="1:17" ht="15.75" x14ac:dyDescent="0.25">
      <c r="B104">
        <v>2</v>
      </c>
      <c r="C104" s="28" t="s">
        <v>36</v>
      </c>
      <c r="D104" s="21"/>
      <c r="E104" s="24">
        <f t="shared" si="20"/>
        <v>-210000</v>
      </c>
      <c r="F104" s="24">
        <f t="shared" si="20"/>
        <v>-210000</v>
      </c>
      <c r="G104" s="24">
        <f t="shared" si="20"/>
        <v>-210000</v>
      </c>
      <c r="H104" s="24">
        <f t="shared" si="20"/>
        <v>-210000</v>
      </c>
      <c r="I104" s="24">
        <f t="shared" si="20"/>
        <v>-210000</v>
      </c>
      <c r="K104" s="21"/>
    </row>
    <row r="105" spans="1:17" ht="15.75" x14ac:dyDescent="0.25">
      <c r="B105">
        <v>3</v>
      </c>
      <c r="C105" s="28" t="s">
        <v>53</v>
      </c>
      <c r="D105" s="21"/>
      <c r="E105" s="24">
        <f t="shared" si="20"/>
        <v>-10800</v>
      </c>
      <c r="F105" s="24">
        <f t="shared" si="20"/>
        <v>-10800</v>
      </c>
      <c r="G105" s="24">
        <f t="shared" si="20"/>
        <v>-10800</v>
      </c>
      <c r="H105" s="24">
        <f t="shared" si="20"/>
        <v>-10800</v>
      </c>
      <c r="I105" s="24">
        <f t="shared" si="20"/>
        <v>-10800</v>
      </c>
      <c r="K105" s="21"/>
    </row>
    <row r="106" spans="1:17" ht="15.75" x14ac:dyDescent="0.25">
      <c r="B106">
        <v>4</v>
      </c>
      <c r="C106" s="28" t="s">
        <v>118</v>
      </c>
      <c r="D106" s="21"/>
      <c r="E106" s="3">
        <f t="shared" si="20"/>
        <v>-100800</v>
      </c>
      <c r="F106" s="3">
        <f t="shared" si="20"/>
        <v>-100800</v>
      </c>
      <c r="G106" s="3">
        <f t="shared" si="20"/>
        <v>-100800</v>
      </c>
      <c r="H106" s="3">
        <f t="shared" si="20"/>
        <v>-100800</v>
      </c>
      <c r="I106" s="3">
        <f t="shared" si="20"/>
        <v>-100800</v>
      </c>
    </row>
    <row r="107" spans="1:17" ht="15.75" x14ac:dyDescent="0.25">
      <c r="B107">
        <v>5</v>
      </c>
      <c r="C107" s="28" t="s">
        <v>52</v>
      </c>
      <c r="D107" s="21"/>
      <c r="E107" s="15">
        <f>E103+E104+E105+E106</f>
        <v>420000</v>
      </c>
      <c r="F107" s="15">
        <f t="shared" ref="F107:I107" si="21">F103+F104+F105+F106</f>
        <v>531240</v>
      </c>
      <c r="G107" s="15">
        <f t="shared" si="21"/>
        <v>659166</v>
      </c>
      <c r="H107" s="15">
        <f t="shared" si="21"/>
        <v>806280.89999999991</v>
      </c>
      <c r="I107" s="15">
        <f t="shared" si="21"/>
        <v>975463.03499999968</v>
      </c>
    </row>
    <row r="108" spans="1:17" ht="15.75" x14ac:dyDescent="0.25">
      <c r="B108">
        <v>6</v>
      </c>
      <c r="C108" s="28" t="s">
        <v>66</v>
      </c>
      <c r="D108" s="21"/>
      <c r="E108" s="24">
        <f t="shared" ref="E108:I109" si="22">E77</f>
        <v>-100000</v>
      </c>
      <c r="F108" s="24">
        <f t="shared" si="22"/>
        <v>-100000</v>
      </c>
      <c r="G108" s="24">
        <f t="shared" si="22"/>
        <v>-100000</v>
      </c>
      <c r="H108" s="24">
        <f t="shared" si="22"/>
        <v>-100000</v>
      </c>
      <c r="I108" s="24">
        <f t="shared" si="22"/>
        <v>-100000</v>
      </c>
      <c r="M108" t="s">
        <v>92</v>
      </c>
      <c r="N108" s="25">
        <v>0.12</v>
      </c>
    </row>
    <row r="109" spans="1:17" ht="15.75" x14ac:dyDescent="0.25">
      <c r="B109">
        <v>7</v>
      </c>
      <c r="C109" s="28" t="s">
        <v>70</v>
      </c>
      <c r="D109" s="21"/>
      <c r="E109" s="24">
        <f t="shared" si="22"/>
        <v>-42600</v>
      </c>
      <c r="F109" s="24">
        <f t="shared" si="22"/>
        <v>-46980</v>
      </c>
      <c r="G109" s="24">
        <f t="shared" si="22"/>
        <v>-51927</v>
      </c>
      <c r="H109" s="24">
        <f t="shared" si="22"/>
        <v>-57526.05</v>
      </c>
      <c r="I109" s="24">
        <f t="shared" si="22"/>
        <v>-63274.957499999997</v>
      </c>
    </row>
    <row r="110" spans="1:17" ht="15.75" x14ac:dyDescent="0.25">
      <c r="C110" s="28" t="s">
        <v>108</v>
      </c>
      <c r="E110" s="3">
        <f>-V73</f>
        <v>-17847.402466506959</v>
      </c>
      <c r="F110" s="3">
        <f>-V74</f>
        <v>-6468.4225118184959</v>
      </c>
      <c r="G110" s="23"/>
      <c r="H110" s="23"/>
      <c r="I110" s="23"/>
    </row>
    <row r="111" spans="1:17" ht="15.75" x14ac:dyDescent="0.25">
      <c r="A111" s="10">
        <v>0.3</v>
      </c>
      <c r="B111">
        <v>8</v>
      </c>
      <c r="C111" s="28" t="s">
        <v>54</v>
      </c>
      <c r="D111" s="21"/>
      <c r="E111" s="15">
        <f>E107+E108+E109+E110</f>
        <v>259552.59753349304</v>
      </c>
      <c r="F111" s="15">
        <f t="shared" ref="F111:I111" si="23">F107+F108+F109+F110</f>
        <v>377791.57748818153</v>
      </c>
      <c r="G111" s="15">
        <f t="shared" si="23"/>
        <v>507239</v>
      </c>
      <c r="H111" s="15">
        <f t="shared" si="23"/>
        <v>648754.84999999986</v>
      </c>
      <c r="I111" s="15">
        <f t="shared" si="23"/>
        <v>812188.07749999966</v>
      </c>
    </row>
    <row r="112" spans="1:17" ht="15.75" x14ac:dyDescent="0.25">
      <c r="B112">
        <v>9</v>
      </c>
      <c r="C112" s="28" t="s">
        <v>55</v>
      </c>
      <c r="D112" s="21"/>
      <c r="E112" s="3">
        <f>-E111*$A$79</f>
        <v>-77865.779260047915</v>
      </c>
      <c r="F112" s="3">
        <f>-F111*$A$79</f>
        <v>-113337.47324645445</v>
      </c>
      <c r="G112" s="3">
        <f>-G111*$A$79</f>
        <v>-152171.69999999998</v>
      </c>
      <c r="H112" s="3">
        <f>-H111*$A$79</f>
        <v>-194626.45499999996</v>
      </c>
      <c r="I112" s="3">
        <f>-I111*$A$79</f>
        <v>-243656.42324999988</v>
      </c>
    </row>
    <row r="113" spans="1:11" ht="15.75" x14ac:dyDescent="0.25">
      <c r="B113">
        <v>10</v>
      </c>
      <c r="C113" s="28" t="s">
        <v>56</v>
      </c>
      <c r="D113" s="21"/>
      <c r="E113" s="15">
        <f>E111+E112</f>
        <v>181686.81827344513</v>
      </c>
      <c r="F113" s="15">
        <f t="shared" ref="F113:I113" si="24">F111+F112</f>
        <v>264454.10424172709</v>
      </c>
      <c r="G113" s="15">
        <f t="shared" si="24"/>
        <v>355067.30000000005</v>
      </c>
      <c r="H113" s="15">
        <f t="shared" si="24"/>
        <v>454128.3949999999</v>
      </c>
      <c r="I113" s="15">
        <f t="shared" si="24"/>
        <v>568531.65424999979</v>
      </c>
    </row>
    <row r="114" spans="1:11" x14ac:dyDescent="0.25">
      <c r="A114" s="21"/>
    </row>
    <row r="115" spans="1:11" x14ac:dyDescent="0.25">
      <c r="A115" s="21"/>
    </row>
    <row r="116" spans="1:11" x14ac:dyDescent="0.25">
      <c r="A116" s="21"/>
    </row>
    <row r="117" spans="1:11" x14ac:dyDescent="0.25">
      <c r="A117" s="21"/>
      <c r="K117" s="21"/>
    </row>
    <row r="118" spans="1:11" x14ac:dyDescent="0.25">
      <c r="A118" s="21"/>
      <c r="K118" s="21"/>
    </row>
    <row r="119" spans="1:11" x14ac:dyDescent="0.25">
      <c r="A119" s="21"/>
      <c r="B119" s="21"/>
      <c r="J119" s="21"/>
      <c r="K119" s="21"/>
    </row>
    <row r="120" spans="1:11" x14ac:dyDescent="0.25">
      <c r="A120" s="21"/>
      <c r="B120" s="21"/>
    </row>
    <row r="121" spans="1:11" x14ac:dyDescent="0.25">
      <c r="A121" s="21"/>
      <c r="B121" s="13" t="s">
        <v>60</v>
      </c>
      <c r="C121" s="21"/>
      <c r="D121" s="21"/>
      <c r="E121" s="24"/>
      <c r="F121" s="24"/>
      <c r="G121" s="24"/>
      <c r="H121" s="24"/>
      <c r="I121" s="24"/>
      <c r="J121" s="21"/>
    </row>
    <row r="122" spans="1:11" x14ac:dyDescent="0.25">
      <c r="A122" s="21"/>
      <c r="B122" s="21"/>
      <c r="C122" s="21"/>
      <c r="D122" s="22"/>
      <c r="E122" s="44"/>
      <c r="F122" s="44"/>
      <c r="G122" s="44"/>
      <c r="H122" s="44"/>
      <c r="I122" s="44"/>
      <c r="J122" s="21"/>
    </row>
    <row r="123" spans="1:11" x14ac:dyDescent="0.25">
      <c r="A123" s="21"/>
      <c r="B123" s="21"/>
      <c r="C123" s="63"/>
      <c r="D123" s="64">
        <v>0</v>
      </c>
      <c r="E123" s="65">
        <v>1</v>
      </c>
      <c r="F123" s="65">
        <v>2</v>
      </c>
      <c r="G123" s="65">
        <v>3</v>
      </c>
      <c r="H123" s="65">
        <v>4</v>
      </c>
      <c r="I123" s="65">
        <v>5</v>
      </c>
      <c r="J123" s="21"/>
    </row>
    <row r="124" spans="1:11" x14ac:dyDescent="0.25">
      <c r="A124" s="21"/>
      <c r="B124" s="21"/>
      <c r="C124" s="63" t="s">
        <v>56</v>
      </c>
      <c r="D124" s="63"/>
      <c r="E124" s="66">
        <f>E113</f>
        <v>181686.81827344513</v>
      </c>
      <c r="F124" s="66">
        <f t="shared" ref="F124:I124" si="25">F113</f>
        <v>264454.10424172709</v>
      </c>
      <c r="G124" s="66">
        <f t="shared" si="25"/>
        <v>355067.30000000005</v>
      </c>
      <c r="H124" s="66">
        <f t="shared" si="25"/>
        <v>454128.3949999999</v>
      </c>
      <c r="I124" s="66">
        <f t="shared" si="25"/>
        <v>568531.65424999979</v>
      </c>
    </row>
    <row r="125" spans="1:11" x14ac:dyDescent="0.25">
      <c r="A125" s="21"/>
      <c r="B125" s="21"/>
      <c r="C125" s="63" t="s">
        <v>53</v>
      </c>
      <c r="D125" s="63"/>
      <c r="E125" s="66">
        <f>-E74</f>
        <v>10800</v>
      </c>
      <c r="F125" s="66">
        <f>-F74</f>
        <v>10800</v>
      </c>
      <c r="G125" s="66">
        <f>-G74</f>
        <v>10800</v>
      </c>
      <c r="H125" s="66">
        <f>-H74</f>
        <v>10800</v>
      </c>
      <c r="I125" s="66">
        <f>-I74</f>
        <v>10800</v>
      </c>
    </row>
    <row r="126" spans="1:11" x14ac:dyDescent="0.25">
      <c r="B126" s="21"/>
      <c r="C126" s="63" t="s">
        <v>83</v>
      </c>
      <c r="D126" s="63"/>
      <c r="E126" s="66">
        <f>-N61</f>
        <v>-10800</v>
      </c>
      <c r="F126" s="66">
        <f t="shared" ref="F126:H126" si="26">-O61</f>
        <v>-12420</v>
      </c>
      <c r="G126" s="66">
        <f t="shared" si="26"/>
        <v>-14283</v>
      </c>
      <c r="H126" s="66">
        <f t="shared" si="26"/>
        <v>-16425.449999999979</v>
      </c>
      <c r="I126" s="66"/>
    </row>
    <row r="127" spans="1:11" x14ac:dyDescent="0.25">
      <c r="B127" s="21"/>
      <c r="C127" s="63" t="s">
        <v>59</v>
      </c>
      <c r="D127" s="66">
        <f>-D44</f>
        <v>-1086000</v>
      </c>
      <c r="E127" s="66"/>
      <c r="F127" s="66"/>
      <c r="G127" s="66"/>
      <c r="H127" s="66"/>
      <c r="I127" s="66"/>
      <c r="J127" t="s">
        <v>88</v>
      </c>
    </row>
    <row r="128" spans="1:11" x14ac:dyDescent="0.25">
      <c r="B128" s="21"/>
      <c r="C128" s="63" t="s">
        <v>81</v>
      </c>
      <c r="D128" s="66">
        <f>M67</f>
        <v>325800</v>
      </c>
      <c r="E128" s="66">
        <f>-U73</f>
        <v>-157210.51002265574</v>
      </c>
      <c r="F128" s="66">
        <f>-U74</f>
        <v>-168589.4899773442</v>
      </c>
      <c r="G128" s="66"/>
      <c r="H128" s="66"/>
      <c r="I128" s="66"/>
      <c r="J128" s="21"/>
    </row>
    <row r="129" spans="2:15" x14ac:dyDescent="0.25">
      <c r="B129" s="21"/>
      <c r="C129" s="63" t="s">
        <v>84</v>
      </c>
      <c r="D129" s="63"/>
      <c r="E129" s="66"/>
      <c r="F129" s="66"/>
      <c r="G129" s="66"/>
      <c r="H129" s="66"/>
      <c r="I129" s="66">
        <f>R61</f>
        <v>125928.44999999998</v>
      </c>
      <c r="J129" s="21" t="s">
        <v>89</v>
      </c>
    </row>
    <row r="130" spans="2:15" x14ac:dyDescent="0.25">
      <c r="B130" s="21"/>
      <c r="C130" s="4" t="s">
        <v>87</v>
      </c>
      <c r="D130" s="23"/>
      <c r="E130" s="3"/>
      <c r="F130" s="3"/>
      <c r="G130" s="3"/>
      <c r="H130" s="3"/>
      <c r="I130" s="3">
        <f>I93</f>
        <v>456000</v>
      </c>
    </row>
    <row r="131" spans="2:15" x14ac:dyDescent="0.25">
      <c r="B131" s="21"/>
      <c r="C131" t="s">
        <v>61</v>
      </c>
      <c r="D131" s="24">
        <f t="shared" ref="D131:I131" si="27">SUM(D124:D129)</f>
        <v>-760200</v>
      </c>
      <c r="E131" s="24">
        <f>SUM(E124:E129)</f>
        <v>24476.308250789385</v>
      </c>
      <c r="F131" s="24">
        <f t="shared" si="27"/>
        <v>94244.614264382893</v>
      </c>
      <c r="G131" s="24">
        <f t="shared" si="27"/>
        <v>351584.30000000005</v>
      </c>
      <c r="H131" s="24">
        <f t="shared" si="27"/>
        <v>448502.94499999995</v>
      </c>
      <c r="I131" s="24">
        <f t="shared" si="27"/>
        <v>705260.10424999974</v>
      </c>
    </row>
    <row r="132" spans="2:15" x14ac:dyDescent="0.25">
      <c r="B132" s="21"/>
    </row>
    <row r="133" spans="2:15" ht="15.75" x14ac:dyDescent="0.25">
      <c r="B133" s="21"/>
      <c r="C133" s="28"/>
      <c r="D133" s="29"/>
    </row>
    <row r="134" spans="2:15" ht="15.75" x14ac:dyDescent="0.25">
      <c r="B134" s="21"/>
      <c r="C134" s="26" t="s">
        <v>62</v>
      </c>
      <c r="D134" s="24">
        <f>NPV(I155%,E131:I131)+D131</f>
        <v>500396.88745599287</v>
      </c>
    </row>
    <row r="135" spans="2:15" ht="15.75" x14ac:dyDescent="0.25">
      <c r="B135" s="21"/>
      <c r="C135" s="26" t="s">
        <v>64</v>
      </c>
      <c r="D135" s="30">
        <f>IRR(D131:I131)</f>
        <v>0.21165039296977795</v>
      </c>
      <c r="J135" s="21"/>
    </row>
    <row r="136" spans="2:15" x14ac:dyDescent="0.25">
      <c r="B136" s="21"/>
      <c r="J136" s="21"/>
    </row>
    <row r="140" spans="2:15" x14ac:dyDescent="0.25">
      <c r="I140" t="s">
        <v>111</v>
      </c>
      <c r="M140" t="s">
        <v>114</v>
      </c>
      <c r="O140" s="25">
        <f>P67</f>
        <v>0.15</v>
      </c>
    </row>
    <row r="141" spans="2:15" x14ac:dyDescent="0.25">
      <c r="M141" t="s">
        <v>122</v>
      </c>
      <c r="O141" s="51">
        <v>0.68</v>
      </c>
    </row>
    <row r="142" spans="2:15" x14ac:dyDescent="0.25">
      <c r="I142" t="s">
        <v>112</v>
      </c>
      <c r="J142" t="s">
        <v>113</v>
      </c>
    </row>
    <row r="143" spans="2:15" x14ac:dyDescent="0.25">
      <c r="G143" t="s">
        <v>121</v>
      </c>
      <c r="I143" s="2">
        <f>D45+D46+D51</f>
        <v>590000</v>
      </c>
      <c r="J143" s="34">
        <f>M67</f>
        <v>325800</v>
      </c>
    </row>
    <row r="144" spans="2:15" x14ac:dyDescent="0.25">
      <c r="G144" t="s">
        <v>120</v>
      </c>
      <c r="I144" s="3">
        <f>I145-I143</f>
        <v>496000</v>
      </c>
      <c r="J144" s="49">
        <f>J145-J143</f>
        <v>760200</v>
      </c>
    </row>
    <row r="145" spans="3:10" x14ac:dyDescent="0.25">
      <c r="I145" s="2">
        <f>D44</f>
        <v>1086000</v>
      </c>
      <c r="J145" s="2">
        <f>D44</f>
        <v>1086000</v>
      </c>
    </row>
    <row r="147" spans="3:10" x14ac:dyDescent="0.25">
      <c r="G147" t="s">
        <v>116</v>
      </c>
      <c r="I147">
        <v>7.6</v>
      </c>
    </row>
    <row r="148" spans="3:10" x14ac:dyDescent="0.25">
      <c r="G148" t="s">
        <v>117</v>
      </c>
      <c r="I148">
        <v>2.52</v>
      </c>
    </row>
    <row r="149" spans="3:10" x14ac:dyDescent="0.25">
      <c r="C149" s="31">
        <f>133410/161190</f>
        <v>0.82765680253117435</v>
      </c>
      <c r="D149">
        <f>161190*0.8</f>
        <v>128952</v>
      </c>
      <c r="G149" t="s">
        <v>123</v>
      </c>
      <c r="I149" s="51">
        <f>O141*(1+0.7*J143/J144)</f>
        <v>0.88400000000000012</v>
      </c>
    </row>
    <row r="150" spans="3:10" x14ac:dyDescent="0.25">
      <c r="C150" s="31">
        <f>137412/429840</f>
        <v>0.3196817420435511</v>
      </c>
    </row>
    <row r="151" spans="3:10" x14ac:dyDescent="0.25">
      <c r="C151" s="31">
        <f>141535/779085</f>
        <v>0.18166823902398327</v>
      </c>
    </row>
    <row r="152" spans="3:10" x14ac:dyDescent="0.25">
      <c r="H152" s="50" t="s">
        <v>115</v>
      </c>
      <c r="I152">
        <f>I148+I149*I147</f>
        <v>9.2384000000000004</v>
      </c>
    </row>
    <row r="155" spans="3:10" x14ac:dyDescent="0.25">
      <c r="H155" t="s">
        <v>119</v>
      </c>
      <c r="I155">
        <f>O140*(1-30%)*(J143/J145)+I152*(J144/J145)</f>
        <v>6.49838</v>
      </c>
    </row>
    <row r="156" spans="3:10" x14ac:dyDescent="0.25">
      <c r="C156">
        <f>POWER(1.1,1/12)</f>
        <v>1.0079741404289038</v>
      </c>
    </row>
    <row r="159" spans="3:10" x14ac:dyDescent="0.25">
      <c r="C159" s="32">
        <f>PMT(0.797%,12,10000)</f>
        <v>-877.13236837526051</v>
      </c>
    </row>
    <row r="161" spans="3:3" x14ac:dyDescent="0.25">
      <c r="C161">
        <f>877-79</f>
        <v>798</v>
      </c>
    </row>
    <row r="162" spans="3:3" x14ac:dyDescent="0.25">
      <c r="C162">
        <f>10000-798</f>
        <v>9202</v>
      </c>
    </row>
  </sheetData>
  <mergeCells count="7">
    <mergeCell ref="U93:U94"/>
    <mergeCell ref="V93:V94"/>
    <mergeCell ref="W93:W94"/>
    <mergeCell ref="X93:X94"/>
    <mergeCell ref="S91:T91"/>
    <mergeCell ref="S92:T92"/>
    <mergeCell ref="S93:T94"/>
  </mergeCells>
  <hyperlinks>
    <hyperlink ref="G6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7"/>
  <sheetViews>
    <sheetView workbookViewId="0">
      <selection activeCell="D7" sqref="D7"/>
    </sheetView>
  </sheetViews>
  <sheetFormatPr baseColWidth="10" defaultRowHeight="15" x14ac:dyDescent="0.25"/>
  <sheetData>
    <row r="3" spans="3:4" x14ac:dyDescent="0.25">
      <c r="C3">
        <v>30000</v>
      </c>
      <c r="D3">
        <v>60000</v>
      </c>
    </row>
    <row r="4" spans="3:4" x14ac:dyDescent="0.25">
      <c r="C4">
        <v>-3000</v>
      </c>
      <c r="D4">
        <v>-3000</v>
      </c>
    </row>
    <row r="5" spans="3:4" x14ac:dyDescent="0.25">
      <c r="C5">
        <v>-38296</v>
      </c>
      <c r="D5">
        <v>-38296</v>
      </c>
    </row>
    <row r="6" spans="3:4" x14ac:dyDescent="0.25">
      <c r="C6">
        <v>-8523</v>
      </c>
      <c r="D6">
        <v>-8523</v>
      </c>
    </row>
    <row r="7" spans="3:4" x14ac:dyDescent="0.25">
      <c r="C7">
        <f>SUM(C3:C6)</f>
        <v>-19819</v>
      </c>
      <c r="D7">
        <f>SUM(D3:D6)-416</f>
        <v>9765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CCII</dc:creator>
  <cp:lastModifiedBy>Luis</cp:lastModifiedBy>
  <dcterms:created xsi:type="dcterms:W3CDTF">2017-12-04T21:29:36Z</dcterms:created>
  <dcterms:modified xsi:type="dcterms:W3CDTF">2018-02-08T17:31:47Z</dcterms:modified>
</cp:coreProperties>
</file>