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8955" windowHeight="6030" activeTab="0"/>
  </bookViews>
  <sheets>
    <sheet name="Hoja1" sheetId="1" r:id="rId1"/>
    <sheet name="Datos" sheetId="2" r:id="rId2"/>
    <sheet name="Solo Barco" sheetId="3" r:id="rId3"/>
    <sheet name="Fabrica de hielo" sheetId="4" r:id="rId4"/>
    <sheet name="Camión refrigerado" sheetId="5" r:id="rId5"/>
    <sheet name="Informe de compatibilidad" sheetId="6" r:id="rId6"/>
  </sheets>
  <definedNames/>
  <calcPr fullCalcOnLoad="1"/>
</workbook>
</file>

<file path=xl/sharedStrings.xml><?xml version="1.0" encoding="utf-8"?>
<sst xmlns="http://schemas.openxmlformats.org/spreadsheetml/2006/main" count="350" uniqueCount="235">
  <si>
    <t>Diagnostico economico</t>
  </si>
  <si>
    <t>Tiempo</t>
  </si>
  <si>
    <t>años</t>
  </si>
  <si>
    <t>Interes</t>
  </si>
  <si>
    <t>util desp imp</t>
  </si>
  <si>
    <t>Requerimientos produccion</t>
  </si>
  <si>
    <t>Consumo historico hielo</t>
  </si>
  <si>
    <t>4lbs de hielo</t>
  </si>
  <si>
    <t>por cada libra de camaron vendida</t>
  </si>
  <si>
    <t>libras de hielo</t>
  </si>
  <si>
    <t>Opciones de inversión</t>
  </si>
  <si>
    <t>Precio</t>
  </si>
  <si>
    <t>Vida economica</t>
  </si>
  <si>
    <t>Financiamiento</t>
  </si>
  <si>
    <t>pagos anuales</t>
  </si>
  <si>
    <t>cinco años</t>
  </si>
  <si>
    <t>Compra camión refrigerado</t>
  </si>
  <si>
    <t xml:space="preserve">por libra </t>
  </si>
  <si>
    <t>Financimaiento</t>
  </si>
  <si>
    <t>v.r</t>
  </si>
  <si>
    <t>Saldos efectivo emrpesa</t>
  </si>
  <si>
    <t>libras</t>
  </si>
  <si>
    <t>FLUJO DE FONDOS</t>
  </si>
  <si>
    <t>Cantidad</t>
  </si>
  <si>
    <t>INGRESOS</t>
  </si>
  <si>
    <t>FINANCIACIÓN</t>
  </si>
  <si>
    <t>barco</t>
  </si>
  <si>
    <t>cap trabajo neto</t>
  </si>
  <si>
    <t>Activo Fijo neto</t>
  </si>
  <si>
    <t>Gastos operativos</t>
  </si>
  <si>
    <t>Hielo</t>
  </si>
  <si>
    <t>Intereses</t>
  </si>
  <si>
    <t>Deprec barco</t>
  </si>
  <si>
    <t>Ingreso gravable</t>
  </si>
  <si>
    <t>Impuestos</t>
  </si>
  <si>
    <t>Utildiad disponible</t>
  </si>
  <si>
    <t xml:space="preserve"> + depreciación</t>
  </si>
  <si>
    <t>- Amortización</t>
  </si>
  <si>
    <t>Flujo Fondos</t>
  </si>
  <si>
    <t>la empresa compro</t>
  </si>
  <si>
    <t>Si necesita 4 lbs de hielo por cada libra de camaron</t>
  </si>
  <si>
    <t>Produccion</t>
  </si>
  <si>
    <t>lbs</t>
  </si>
  <si>
    <t>Hielo nec / libra</t>
  </si>
  <si>
    <t>Cantidad de hielo necesario</t>
  </si>
  <si>
    <t>Costo hielo</t>
  </si>
  <si>
    <t>recp</t>
  </si>
  <si>
    <t>fabrica de hielo</t>
  </si>
  <si>
    <t>COSTOS DE INVERSIÓN</t>
  </si>
  <si>
    <t>Activo Fijo barco</t>
  </si>
  <si>
    <t>Activo fijo fab hielo</t>
  </si>
  <si>
    <t>Mano obra</t>
  </si>
  <si>
    <t>Intereses fabrica</t>
  </si>
  <si>
    <t>Intereses barco</t>
  </si>
  <si>
    <t>Depreciacion fabrica</t>
  </si>
  <si>
    <t>camion</t>
  </si>
  <si>
    <t>Chofer</t>
  </si>
  <si>
    <t>gastos gasolina</t>
  </si>
  <si>
    <t>Intereses camion</t>
  </si>
  <si>
    <t>Depreciacion camion</t>
  </si>
  <si>
    <t>CASO CAMARONERA SALAVERRY S.A.</t>
  </si>
  <si>
    <t>La emrpesa se inicio hace tres años con un slo barco camaronero</t>
  </si>
  <si>
    <t>Interés</t>
  </si>
  <si>
    <t>Valor del barco camaronero</t>
  </si>
  <si>
    <t>Perdidas operativas</t>
  </si>
  <si>
    <t>En el 2005</t>
  </si>
  <si>
    <t>Precio:</t>
  </si>
  <si>
    <t>Gasto anual</t>
  </si>
  <si>
    <t>Compras cinco años venideros 160000 lbrs</t>
  </si>
  <si>
    <t>Comprar un maquina de hielo usada</t>
  </si>
  <si>
    <t>Electricidad</t>
  </si>
  <si>
    <t>Inicial</t>
  </si>
  <si>
    <r>
      <t xml:space="preserve">Metodo de pago : </t>
    </r>
    <r>
      <rPr>
        <b/>
        <sz val="10"/>
        <rFont val="Arial"/>
        <family val="2"/>
      </rPr>
      <t>alemán</t>
    </r>
  </si>
  <si>
    <t>Metodo alemán</t>
  </si>
  <si>
    <t>Saldo</t>
  </si>
  <si>
    <t>Ventas</t>
  </si>
  <si>
    <t>Préstamo</t>
  </si>
  <si>
    <r>
      <t xml:space="preserve">Metodo </t>
    </r>
    <r>
      <rPr>
        <b/>
        <sz val="10"/>
        <rFont val="Arial"/>
        <family val="2"/>
      </rPr>
      <t>francés</t>
    </r>
  </si>
  <si>
    <t>para comprar bonos de renta fija</t>
  </si>
  <si>
    <t>Estimaciones de ventas</t>
  </si>
  <si>
    <t>Costo libra hielo</t>
  </si>
  <si>
    <t>Durante tres años operaciones requerian hielo en la sgte cantidad:</t>
  </si>
  <si>
    <t>hasta</t>
  </si>
  <si>
    <t>por año</t>
  </si>
  <si>
    <t>Gasolina y mantenimiento</t>
  </si>
  <si>
    <t>METODO ALEMAN</t>
  </si>
  <si>
    <t>METODO FRANCES</t>
  </si>
  <si>
    <t>PROYECCIONES BAJO LA SITUACION ACTUAL: SOLO BARCO</t>
  </si>
  <si>
    <t>Recuperación</t>
  </si>
  <si>
    <t>Años</t>
  </si>
  <si>
    <t>Cap trabajo neto</t>
  </si>
  <si>
    <t>Barco</t>
  </si>
  <si>
    <t>ALTERNATIVA 1: COMPRA DE FABRICA DE HIELO</t>
  </si>
  <si>
    <t>ALTERNATIVA 2: COMPRA DE CAMION REFRIGERADO</t>
  </si>
  <si>
    <t>Amortización</t>
  </si>
  <si>
    <t>Cuota</t>
  </si>
  <si>
    <t xml:space="preserve">COOPERATIVA CAMARONERA SAN JUAN </t>
  </si>
  <si>
    <t xml:space="preserve">ESTADO DE GANANCIAS Y PERDIDAS </t>
  </si>
  <si>
    <t>Total</t>
  </si>
  <si>
    <t>Utilidades Retenidas</t>
  </si>
  <si>
    <t>Empresa Camaronera San Juan</t>
  </si>
  <si>
    <t>BALANCE</t>
  </si>
  <si>
    <t>Activo</t>
  </si>
  <si>
    <t>Activo Circulante</t>
  </si>
  <si>
    <t>TOTAL</t>
  </si>
  <si>
    <t>Activo Fijo Bruto</t>
  </si>
  <si>
    <t>Menos Depreciación acumulada</t>
  </si>
  <si>
    <t>Activo Fijo Neto</t>
  </si>
  <si>
    <t>Total Activo</t>
  </si>
  <si>
    <t>Pasivo y Capital</t>
  </si>
  <si>
    <t>Pasivo Circulante</t>
  </si>
  <si>
    <t>Préstamos a Largo Plazo</t>
  </si>
  <si>
    <t>Capital Social</t>
  </si>
  <si>
    <t>Total Pasivo Capital</t>
  </si>
  <si>
    <t>Ventas Netas (36000 lbs x 1.00/lb</t>
  </si>
  <si>
    <t>Gastos de operación</t>
  </si>
  <si>
    <t xml:space="preserve">  Efectivo</t>
  </si>
  <si>
    <t xml:space="preserve">  Cuentas por cobrar</t>
  </si>
  <si>
    <t xml:space="preserve">  Inventarios</t>
  </si>
  <si>
    <t xml:space="preserve">  Salarios</t>
  </si>
  <si>
    <t xml:space="preserve">  Hielo</t>
  </si>
  <si>
    <t xml:space="preserve">  Generales </t>
  </si>
  <si>
    <t xml:space="preserve">  Interés sobre el préstamo</t>
  </si>
  <si>
    <t xml:space="preserve">  Depreciación</t>
  </si>
  <si>
    <t xml:space="preserve"> Cuentas por pagar</t>
  </si>
  <si>
    <t xml:space="preserve"> Salarios por pagar</t>
  </si>
  <si>
    <t xml:space="preserve">Ingreso Antes de impuestos </t>
  </si>
  <si>
    <t>Salarios</t>
  </si>
  <si>
    <t>Generales</t>
  </si>
  <si>
    <t>Generales(inc electrecidad)</t>
  </si>
  <si>
    <t xml:space="preserve"> + depreciación barco</t>
  </si>
  <si>
    <t xml:space="preserve"> + depreciación fábrica</t>
  </si>
  <si>
    <t>- Amortización barco</t>
  </si>
  <si>
    <t>- Amortización fabrica</t>
  </si>
  <si>
    <t xml:space="preserve"> + depreciación camión</t>
  </si>
  <si>
    <t>- Amortización camión</t>
  </si>
  <si>
    <t>TIR</t>
  </si>
  <si>
    <t>Precio + $250  de instalación</t>
  </si>
  <si>
    <t>Instalación</t>
  </si>
  <si>
    <t>Camión</t>
  </si>
  <si>
    <t>Establecemos un horizonte de planeamiento de 5 años.</t>
  </si>
  <si>
    <t>La inversión es de 6000 que resulta de sumar el Capital de Trabajo Neto + El Activo Fijo Neto a fin de 2005</t>
  </si>
  <si>
    <t>En esta situación hay que comprar hielo y vender al transportista a $ 1.00 la libra decamarones.</t>
  </si>
  <si>
    <t>Suponemos que no hay inventario: se vende toda la captura anual.</t>
  </si>
  <si>
    <t>Se compra la fábrica de hielo para producir su propio hielo y conservar los camarones todos los días pues el camión llega solo 2 veces por semana</t>
  </si>
  <si>
    <t>Producción = $1.00 la libra</t>
  </si>
  <si>
    <t>Se habia hallado un camión refrigerado con la capacidad necesaria de carga diaria al mercado.</t>
  </si>
  <si>
    <t>Además se tiene que comprar hielo para la conservación de los camarones.</t>
  </si>
  <si>
    <t>De este modo se puede vender directamente los camarones al precio mínimo de $1.20, sin embargo el camión solo dura 4 años, al 5º año se regresa a la situación de tener que venderle al camionero a $1.00</t>
  </si>
  <si>
    <t>VANF AL 10%</t>
  </si>
  <si>
    <t>/ lb</t>
  </si>
  <si>
    <t>lbrs</t>
  </si>
  <si>
    <t xml:space="preserve">Depreciación </t>
  </si>
  <si>
    <t>* años</t>
  </si>
  <si>
    <t>libras hielo</t>
  </si>
  <si>
    <t>1 libra camaron</t>
  </si>
  <si>
    <t>=</t>
  </si>
  <si>
    <t>libras camaron</t>
  </si>
  <si>
    <t>1 libra hielo</t>
  </si>
  <si>
    <t>$</t>
  </si>
  <si>
    <t>soles por hielo</t>
  </si>
  <si>
    <t>Informe de compatibilidad para CAMARONERA SALAVERRY con datos cambiados.xls</t>
  </si>
  <si>
    <t>Ejecutar el 15/06/2018 18:27</t>
  </si>
  <si>
    <t>Las siguientes características de este libro no son compatibles con versiones anteriores de Excel. Estas características podrían perderse o degradarse si abre el libro con una versión anterior de Excel o si guarda el libro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</si>
  <si>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</si>
  <si>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</si>
  <si>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</si>
  <si>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</si>
  <si>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</si>
  <si>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Impuesto a la renta (30%)</t>
  </si>
  <si>
    <t>libras de camaron</t>
  </si>
  <si>
    <t>dolares por libra de camaron</t>
  </si>
  <si>
    <t>Año Terminado 31/12/16</t>
  </si>
  <si>
    <t>Al 31/12/17</t>
  </si>
  <si>
    <t>*</t>
  </si>
  <si>
    <t>* Los intereses del año 2018 se calculó I=Saldo de capital * % tasa de interes =</t>
  </si>
  <si>
    <t xml:space="preserve">* Los 14,000 constituye el saldo de capital de la Deuda </t>
  </si>
  <si>
    <t xml:space="preserve">* Saldo del barco por depreciar en los próximos 7 años </t>
  </si>
  <si>
    <t>* Depreciación lineal anual</t>
  </si>
  <si>
    <t xml:space="preserve">*Representa el 41 % de las ventas </t>
  </si>
  <si>
    <t>*Incluye los honorario del Ing. Jimenez</t>
  </si>
  <si>
    <t>* La empresa liquida toda la deuda al final del año 5</t>
  </si>
  <si>
    <t xml:space="preserve">* Incluye el valor de la máquina más el costo de montaje </t>
  </si>
  <si>
    <t>Operaciones para la máquina de hielo</t>
  </si>
  <si>
    <t>* explicacion</t>
  </si>
  <si>
    <t>PRESENTAR CUADRO DE SERVICIO  A LA DEUDA</t>
  </si>
  <si>
    <t>*Se deprecia linealmente a 5 años</t>
  </si>
  <si>
    <t xml:space="preserve">poner entre parentesis, negativo </t>
  </si>
  <si>
    <t>Depreciación</t>
  </si>
  <si>
    <t>precio</t>
  </si>
  <si>
    <t>* Piloto más operario</t>
  </si>
  <si>
    <t>Gastos de mantenimiento</t>
  </si>
  <si>
    <t>Gastos de mantenimeinto</t>
  </si>
  <si>
    <t>VANF AL 32%</t>
  </si>
  <si>
    <t>VAN</t>
  </si>
  <si>
    <t>INCREMENTAL</t>
  </si>
  <si>
    <t>Flujo de caja financiero</t>
  </si>
  <si>
    <t>Ingresos</t>
  </si>
  <si>
    <t>Costos</t>
  </si>
  <si>
    <t>Gastos generales</t>
  </si>
  <si>
    <t>Utilidad antes de impuesto</t>
  </si>
  <si>
    <t>Impuesto</t>
  </si>
  <si>
    <t>Utilidad Neta</t>
  </si>
  <si>
    <t>Depreciación barco</t>
  </si>
  <si>
    <t>Inversión</t>
  </si>
  <si>
    <t>Capital de trabajo</t>
  </si>
  <si>
    <t>Activo fijo neto</t>
  </si>
  <si>
    <t xml:space="preserve">Amortización </t>
  </si>
  <si>
    <t xml:space="preserve">FFN FINANCIERO </t>
  </si>
  <si>
    <t xml:space="preserve">     Salarios</t>
  </si>
  <si>
    <t xml:space="preserve">      Salarios</t>
  </si>
  <si>
    <t xml:space="preserve">     Hielo</t>
  </si>
  <si>
    <t xml:space="preserve">      Hielo</t>
  </si>
  <si>
    <t xml:space="preserve">     Chofer</t>
  </si>
  <si>
    <t>Gastos financieros barco</t>
  </si>
  <si>
    <t>Gastos financieros camión</t>
  </si>
  <si>
    <t>Depreciación camión</t>
  </si>
  <si>
    <t>Gastos en combustible</t>
  </si>
  <si>
    <t>Financiación</t>
  </si>
  <si>
    <t xml:space="preserve">     Barco</t>
  </si>
  <si>
    <t xml:space="preserve">     Camión</t>
  </si>
  <si>
    <t>Activo fijo barco</t>
  </si>
  <si>
    <t>Inversión (camión)</t>
  </si>
  <si>
    <t>Amortización barco</t>
  </si>
  <si>
    <t>Amortización camión</t>
  </si>
  <si>
    <t>Gastos en electricidad</t>
  </si>
  <si>
    <t xml:space="preserve">Gastos financieros máquina </t>
  </si>
  <si>
    <t>Depreciación maquina</t>
  </si>
  <si>
    <t>Inversión (máquina)</t>
  </si>
  <si>
    <t xml:space="preserve">     Maquina de hielo</t>
  </si>
  <si>
    <t>Amortización fábrica</t>
  </si>
  <si>
    <t>Valor residual</t>
  </si>
  <si>
    <t>Recuperacion del capital de trabajo</t>
  </si>
  <si>
    <t>Gastos financieros</t>
  </si>
  <si>
    <t>Recuperación del capital de trabajo</t>
  </si>
</sst>
</file>

<file path=xl/styles.xml><?xml version="1.0" encoding="utf-8"?>
<styleSheet xmlns="http://schemas.openxmlformats.org/spreadsheetml/2006/main">
  <numFmts count="4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.00_ ;[Red]\-#,##0.00\ "/>
    <numFmt numFmtId="181" formatCode="#,##0.0"/>
    <numFmt numFmtId="182" formatCode="0.0%"/>
    <numFmt numFmtId="183" formatCode="0.000%"/>
    <numFmt numFmtId="184" formatCode="0.0000%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0%"/>
    <numFmt numFmtId="190" formatCode="0.000000%"/>
    <numFmt numFmtId="191" formatCode="0.0000000%"/>
    <numFmt numFmtId="192" formatCode="0.00000000%"/>
    <numFmt numFmtId="193" formatCode="0.000000000%"/>
    <numFmt numFmtId="194" formatCode="0.000"/>
    <numFmt numFmtId="195" formatCode="0.0"/>
    <numFmt numFmtId="196" formatCode="#,##0.00000000000"/>
    <numFmt numFmtId="197" formatCode="#,##0.0000000000"/>
    <numFmt numFmtId="198" formatCode="#,##0.000000000"/>
    <numFmt numFmtId="199" formatCode="#,##0.00000000"/>
    <numFmt numFmtId="200" formatCode="#,##0.0000000"/>
    <numFmt numFmtId="201" formatCode="#,##0.000000"/>
    <numFmt numFmtId="202" formatCode="#,##0.00000"/>
    <numFmt numFmtId="203" formatCode="#,##0.0000"/>
    <numFmt numFmtId="204" formatCode="#,##0.000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5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Comic Sans MS"/>
      <family val="4"/>
    </font>
    <font>
      <b/>
      <i/>
      <sz val="10"/>
      <color indexed="48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0"/>
    </font>
    <font>
      <sz val="10"/>
      <color indexed="8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9" fontId="0" fillId="0" borderId="0" xfId="55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1" fillId="33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2" fillId="33" borderId="10" xfId="0" applyFont="1" applyFill="1" applyBorder="1" applyAlignment="1" quotePrefix="1">
      <alignment/>
    </xf>
    <xf numFmtId="0" fontId="13" fillId="0" borderId="0" xfId="0" applyFont="1" applyAlignment="1">
      <alignment/>
    </xf>
    <xf numFmtId="0" fontId="0" fillId="34" borderId="10" xfId="0" applyFill="1" applyBorder="1" applyAlignment="1">
      <alignment/>
    </xf>
    <xf numFmtId="3" fontId="0" fillId="34" borderId="10" xfId="0" applyNumberFormat="1" applyFill="1" applyBorder="1" applyAlignment="1">
      <alignment/>
    </xf>
    <xf numFmtId="0" fontId="0" fillId="34" borderId="10" xfId="0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180" fontId="1" fillId="34" borderId="10" xfId="0" applyNumberFormat="1" applyFont="1" applyFill="1" applyBorder="1" applyAlignment="1">
      <alignment/>
    </xf>
    <xf numFmtId="9" fontId="1" fillId="34" borderId="1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1" fillId="33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3" fontId="1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Alignment="1">
      <alignment/>
    </xf>
    <xf numFmtId="182" fontId="1" fillId="34" borderId="1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6"/>
  <sheetViews>
    <sheetView tabSelected="1" zoomScale="90" zoomScaleNormal="90" zoomScalePageLayoutView="0" workbookViewId="0" topLeftCell="A1">
      <selection activeCell="J15" sqref="J15"/>
    </sheetView>
  </sheetViews>
  <sheetFormatPr defaultColWidth="11.421875" defaultRowHeight="12.75"/>
  <cols>
    <col min="1" max="1" width="30.7109375" style="0" bestFit="1" customWidth="1"/>
    <col min="10" max="10" width="20.00390625" style="0" customWidth="1"/>
    <col min="13" max="13" width="14.57421875" style="0" customWidth="1"/>
    <col min="14" max="14" width="6.00390625" style="0" customWidth="1"/>
  </cols>
  <sheetData>
    <row r="2" ht="12.75">
      <c r="B2" t="s">
        <v>96</v>
      </c>
    </row>
    <row r="3" ht="12.75">
      <c r="B3" t="s">
        <v>97</v>
      </c>
    </row>
    <row r="4" ht="12.75">
      <c r="B4" t="s">
        <v>172</v>
      </c>
    </row>
    <row r="6" spans="1:16" ht="12.75">
      <c r="A6" s="1" t="s">
        <v>114</v>
      </c>
      <c r="D6">
        <f>O14</f>
        <v>55698.4375</v>
      </c>
      <c r="I6">
        <v>178235</v>
      </c>
      <c r="J6" t="s">
        <v>9</v>
      </c>
      <c r="K6" s="34" t="s">
        <v>155</v>
      </c>
      <c r="N6" t="s">
        <v>156</v>
      </c>
      <c r="O6">
        <f>I6/K7</f>
        <v>44558.75</v>
      </c>
      <c r="P6" t="s">
        <v>157</v>
      </c>
    </row>
    <row r="7" spans="11:12" ht="12.75">
      <c r="K7" s="12">
        <v>4</v>
      </c>
      <c r="L7" t="s">
        <v>154</v>
      </c>
    </row>
    <row r="8" ht="12.75">
      <c r="A8" s="1" t="s">
        <v>115</v>
      </c>
    </row>
    <row r="9" spans="1:2" ht="12.75">
      <c r="A9" t="s">
        <v>119</v>
      </c>
      <c r="B9" s="46">
        <v>20000</v>
      </c>
    </row>
    <row r="10" spans="1:16" ht="12.75">
      <c r="A10" t="s">
        <v>120</v>
      </c>
      <c r="B10" s="50">
        <f>O10</f>
        <v>14258.800000000001</v>
      </c>
      <c r="I10">
        <f>I6</f>
        <v>178235</v>
      </c>
      <c r="J10" t="s">
        <v>9</v>
      </c>
      <c r="K10">
        <f>Datos!B21</f>
        <v>0.08</v>
      </c>
      <c r="L10" t="s">
        <v>159</v>
      </c>
      <c r="M10" t="s">
        <v>156</v>
      </c>
      <c r="O10">
        <f>I10*K10</f>
        <v>14258.800000000001</v>
      </c>
      <c r="P10" t="s">
        <v>160</v>
      </c>
    </row>
    <row r="11" spans="1:11" ht="12.75">
      <c r="A11" t="s">
        <v>121</v>
      </c>
      <c r="B11" s="46">
        <f>16000</f>
        <v>16000</v>
      </c>
      <c r="K11" t="s">
        <v>158</v>
      </c>
    </row>
    <row r="12" spans="1:2" ht="12.75">
      <c r="A12" t="s">
        <v>122</v>
      </c>
      <c r="B12">
        <f>Datos!J8</f>
        <v>800</v>
      </c>
    </row>
    <row r="13" spans="1:2" ht="12.75">
      <c r="A13" t="s">
        <v>123</v>
      </c>
      <c r="B13" s="15">
        <f>Datos!C14</f>
        <v>3000</v>
      </c>
    </row>
    <row r="14" spans="11:16" ht="12.75">
      <c r="K14" t="s">
        <v>170</v>
      </c>
      <c r="L14">
        <f>O6</f>
        <v>44558.75</v>
      </c>
      <c r="M14" s="35">
        <f>'Solo Barco'!K6</f>
        <v>1.25</v>
      </c>
      <c r="O14">
        <f>L14*M14</f>
        <v>55698.4375</v>
      </c>
      <c r="P14" t="s">
        <v>171</v>
      </c>
    </row>
    <row r="15" spans="1:13" ht="12.75">
      <c r="A15" s="1" t="s">
        <v>98</v>
      </c>
      <c r="D15">
        <f>SUM(B9:B13)</f>
        <v>54058.8</v>
      </c>
      <c r="M15" t="s">
        <v>155</v>
      </c>
    </row>
    <row r="16" spans="1:4" ht="12.75">
      <c r="A16" t="s">
        <v>126</v>
      </c>
      <c r="D16">
        <f>D6-D15</f>
        <v>1639.637499999997</v>
      </c>
    </row>
    <row r="17" spans="1:6" ht="12.75">
      <c r="A17" t="s">
        <v>169</v>
      </c>
      <c r="D17" s="15">
        <f>D16*F17</f>
        <v>491.8912499999991</v>
      </c>
      <c r="F17" s="2">
        <v>0.3</v>
      </c>
    </row>
    <row r="18" spans="1:4" ht="12.75">
      <c r="A18" t="s">
        <v>99</v>
      </c>
      <c r="D18" s="50">
        <f>D16-D17</f>
        <v>1147.7462499999979</v>
      </c>
    </row>
    <row r="21" ht="15.75">
      <c r="K21" s="44">
        <v>1148</v>
      </c>
    </row>
    <row r="22" ht="12.75">
      <c r="C22" t="s">
        <v>100</v>
      </c>
    </row>
    <row r="23" ht="12.75">
      <c r="C23" t="s">
        <v>101</v>
      </c>
    </row>
    <row r="24" ht="12.75">
      <c r="C24" t="s">
        <v>173</v>
      </c>
    </row>
    <row r="26" ht="12.75">
      <c r="A26" s="14" t="s">
        <v>102</v>
      </c>
    </row>
    <row r="27" spans="1:2" ht="12.75">
      <c r="A27" t="s">
        <v>103</v>
      </c>
      <c r="B27" s="46">
        <v>5000</v>
      </c>
    </row>
    <row r="28" spans="1:2" ht="12.75">
      <c r="A28" t="s">
        <v>116</v>
      </c>
      <c r="B28">
        <f>3000+852</f>
        <v>3852</v>
      </c>
    </row>
    <row r="29" spans="1:2" ht="12.75">
      <c r="A29" t="s">
        <v>117</v>
      </c>
      <c r="B29">
        <v>250</v>
      </c>
    </row>
    <row r="30" ht="12.75">
      <c r="A30" t="s">
        <v>118</v>
      </c>
    </row>
    <row r="31" spans="1:9" ht="12.75">
      <c r="A31" s="1" t="s">
        <v>104</v>
      </c>
      <c r="D31">
        <f>SUM(B27:B29)</f>
        <v>9102</v>
      </c>
      <c r="I31">
        <f>D31-D42</f>
        <v>5852</v>
      </c>
    </row>
    <row r="32" spans="1:2" ht="12.75">
      <c r="A32" t="s">
        <v>105</v>
      </c>
      <c r="B32">
        <f>Datos!C13</f>
        <v>30000</v>
      </c>
    </row>
    <row r="33" spans="1:7" ht="12.75">
      <c r="A33" t="s">
        <v>106</v>
      </c>
      <c r="B33" s="15">
        <f>Datos!C14*G33</f>
        <v>9000</v>
      </c>
      <c r="F33" t="s">
        <v>153</v>
      </c>
      <c r="G33">
        <v>3</v>
      </c>
    </row>
    <row r="34" spans="1:4" ht="12.75">
      <c r="A34" t="s">
        <v>107</v>
      </c>
      <c r="D34" s="15">
        <f>B32-B33</f>
        <v>21000</v>
      </c>
    </row>
    <row r="35" spans="1:4" ht="12.75">
      <c r="A35" t="s">
        <v>108</v>
      </c>
      <c r="D35">
        <f>D31+D34</f>
        <v>30102</v>
      </c>
    </row>
    <row r="37" ht="12.75">
      <c r="A37" s="14" t="s">
        <v>109</v>
      </c>
    </row>
    <row r="38" ht="12.75">
      <c r="A38" t="s">
        <v>110</v>
      </c>
    </row>
    <row r="40" spans="1:2" ht="12.75">
      <c r="A40" t="s">
        <v>124</v>
      </c>
      <c r="B40">
        <v>2500</v>
      </c>
    </row>
    <row r="41" spans="1:2" ht="12.75">
      <c r="A41" t="s">
        <v>125</v>
      </c>
      <c r="B41" s="15">
        <v>750</v>
      </c>
    </row>
    <row r="42" spans="1:4" ht="12.75">
      <c r="A42" s="1" t="s">
        <v>104</v>
      </c>
      <c r="D42">
        <f>B40+B41</f>
        <v>3250</v>
      </c>
    </row>
    <row r="43" spans="1:4" ht="12.75">
      <c r="A43" t="s">
        <v>111</v>
      </c>
      <c r="D43">
        <f>Datos!G8</f>
        <v>14000</v>
      </c>
    </row>
    <row r="44" spans="1:4" ht="12.75">
      <c r="A44" t="s">
        <v>112</v>
      </c>
      <c r="D44">
        <v>12500</v>
      </c>
    </row>
    <row r="45" spans="1:4" ht="12.75">
      <c r="A45" t="s">
        <v>99</v>
      </c>
      <c r="D45" s="15">
        <f>-1500+D18</f>
        <v>-352.2537500000021</v>
      </c>
    </row>
    <row r="46" spans="1:4" ht="12.75">
      <c r="A46" t="s">
        <v>113</v>
      </c>
      <c r="D46" s="50">
        <f>D42+D43+D44-D45</f>
        <v>30102.253750000003</v>
      </c>
    </row>
  </sheetData>
  <sheetProtection/>
  <printOptions/>
  <pageMargins left="0.75" right="0.75" top="1" bottom="1" header="0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117"/>
  <sheetViews>
    <sheetView zoomScalePageLayoutView="0" workbookViewId="0" topLeftCell="A7">
      <selection activeCell="H29" sqref="H29:M34"/>
    </sheetView>
  </sheetViews>
  <sheetFormatPr defaultColWidth="11.421875" defaultRowHeight="12.75"/>
  <cols>
    <col min="1" max="1" width="25.421875" style="0" customWidth="1"/>
    <col min="2" max="2" width="13.28125" style="0" bestFit="1" customWidth="1"/>
  </cols>
  <sheetData>
    <row r="3" ht="19.5">
      <c r="A3" s="7" t="s">
        <v>60</v>
      </c>
    </row>
    <row r="4" ht="12.75">
      <c r="H4" s="1" t="s">
        <v>85</v>
      </c>
    </row>
    <row r="5" spans="1:13" ht="19.5">
      <c r="A5" s="10" t="s">
        <v>0</v>
      </c>
      <c r="H5" s="3"/>
      <c r="I5" s="3" t="s">
        <v>76</v>
      </c>
      <c r="J5" s="3" t="s">
        <v>62</v>
      </c>
      <c r="K5" s="3" t="s">
        <v>94</v>
      </c>
      <c r="L5" s="3" t="s">
        <v>95</v>
      </c>
      <c r="M5" s="3" t="s">
        <v>74</v>
      </c>
    </row>
    <row r="6" spans="8:13" ht="12.75">
      <c r="H6" s="3">
        <v>1</v>
      </c>
      <c r="I6" s="3">
        <f>$B$8</f>
        <v>20000</v>
      </c>
      <c r="J6" s="3">
        <f>I6*$B$10</f>
        <v>1000</v>
      </c>
      <c r="K6" s="3">
        <f>$I$6/10</f>
        <v>2000</v>
      </c>
      <c r="L6" s="3">
        <f>K6+J6</f>
        <v>3000</v>
      </c>
      <c r="M6" s="3">
        <f>I6-K6</f>
        <v>18000</v>
      </c>
    </row>
    <row r="7" spans="1:13" ht="12.75">
      <c r="A7" s="11" t="s">
        <v>61</v>
      </c>
      <c r="H7" s="3">
        <v>2</v>
      </c>
      <c r="I7" s="3">
        <f>I6-K6</f>
        <v>18000</v>
      </c>
      <c r="J7" s="3">
        <f>I7*$B$10</f>
        <v>900</v>
      </c>
      <c r="K7" s="3">
        <f>$I$6/10</f>
        <v>2000</v>
      </c>
      <c r="L7" s="3">
        <f>K7+J7</f>
        <v>2900</v>
      </c>
      <c r="M7" s="3">
        <f>I7-K7</f>
        <v>16000</v>
      </c>
    </row>
    <row r="8" spans="1:13" ht="12.75">
      <c r="A8" t="s">
        <v>76</v>
      </c>
      <c r="B8">
        <v>20000</v>
      </c>
      <c r="G8">
        <f>SUM(K9:K15)</f>
        <v>14000</v>
      </c>
      <c r="H8" s="3">
        <v>3</v>
      </c>
      <c r="I8" s="3">
        <f aca="true" t="shared" si="0" ref="I8:I14">I7-K7</f>
        <v>16000</v>
      </c>
      <c r="J8" s="3">
        <f aca="true" t="shared" si="1" ref="J8:J14">I8*$B$10</f>
        <v>800</v>
      </c>
      <c r="K8" s="3">
        <f aca="true" t="shared" si="2" ref="K8:K15">$I$6/10</f>
        <v>2000</v>
      </c>
      <c r="L8" s="3">
        <f aca="true" t="shared" si="3" ref="L8:L15">K8+J8</f>
        <v>2800</v>
      </c>
      <c r="M8" s="3">
        <f aca="true" t="shared" si="4" ref="M8:M15">I8-K8</f>
        <v>14000</v>
      </c>
    </row>
    <row r="9" spans="1:13" ht="12.75">
      <c r="A9" t="s">
        <v>1</v>
      </c>
      <c r="B9">
        <v>10</v>
      </c>
      <c r="C9" t="s">
        <v>2</v>
      </c>
      <c r="H9" s="3">
        <v>4</v>
      </c>
      <c r="I9" s="3">
        <f t="shared" si="0"/>
        <v>14000</v>
      </c>
      <c r="J9" s="3">
        <f>I9*$B$10</f>
        <v>700</v>
      </c>
      <c r="K9" s="3">
        <f t="shared" si="2"/>
        <v>2000</v>
      </c>
      <c r="L9" s="3">
        <f t="shared" si="3"/>
        <v>2700</v>
      </c>
      <c r="M9" s="3">
        <f t="shared" si="4"/>
        <v>12000</v>
      </c>
    </row>
    <row r="10" spans="1:13" ht="12.75">
      <c r="A10" t="s">
        <v>62</v>
      </c>
      <c r="B10" s="2">
        <v>0.05</v>
      </c>
      <c r="H10" s="3">
        <v>5</v>
      </c>
      <c r="I10" s="3">
        <f t="shared" si="0"/>
        <v>12000</v>
      </c>
      <c r="J10" s="3">
        <f t="shared" si="1"/>
        <v>600</v>
      </c>
      <c r="K10" s="3">
        <f t="shared" si="2"/>
        <v>2000</v>
      </c>
      <c r="L10" s="3">
        <f t="shared" si="3"/>
        <v>2600</v>
      </c>
      <c r="M10" s="3">
        <f t="shared" si="4"/>
        <v>10000</v>
      </c>
    </row>
    <row r="11" spans="1:13" ht="12.75">
      <c r="A11" t="s">
        <v>72</v>
      </c>
      <c r="H11" s="3">
        <v>6</v>
      </c>
      <c r="I11" s="3">
        <f t="shared" si="0"/>
        <v>10000</v>
      </c>
      <c r="J11" s="3">
        <f t="shared" si="1"/>
        <v>500</v>
      </c>
      <c r="K11" s="3">
        <f t="shared" si="2"/>
        <v>2000</v>
      </c>
      <c r="L11" s="3">
        <f t="shared" si="3"/>
        <v>2500</v>
      </c>
      <c r="M11" s="3">
        <f t="shared" si="4"/>
        <v>8000</v>
      </c>
    </row>
    <row r="12" spans="8:13" ht="12.75">
      <c r="H12" s="3">
        <v>7</v>
      </c>
      <c r="I12" s="3">
        <f t="shared" si="0"/>
        <v>8000</v>
      </c>
      <c r="J12" s="3">
        <f t="shared" si="1"/>
        <v>400</v>
      </c>
      <c r="K12" s="3">
        <f t="shared" si="2"/>
        <v>2000</v>
      </c>
      <c r="L12" s="3">
        <f t="shared" si="3"/>
        <v>2400</v>
      </c>
      <c r="M12" s="3">
        <f t="shared" si="4"/>
        <v>6000</v>
      </c>
    </row>
    <row r="13" spans="1:13" ht="12.75">
      <c r="A13" t="s">
        <v>63</v>
      </c>
      <c r="C13">
        <v>30000</v>
      </c>
      <c r="H13" s="3">
        <v>8</v>
      </c>
      <c r="I13" s="3">
        <f t="shared" si="0"/>
        <v>6000</v>
      </c>
      <c r="J13" s="3">
        <f t="shared" si="1"/>
        <v>300</v>
      </c>
      <c r="K13" s="3">
        <f t="shared" si="2"/>
        <v>2000</v>
      </c>
      <c r="L13" s="3">
        <f t="shared" si="3"/>
        <v>2300</v>
      </c>
      <c r="M13" s="3">
        <f t="shared" si="4"/>
        <v>4000</v>
      </c>
    </row>
    <row r="14" spans="1:13" ht="12.75">
      <c r="A14" t="s">
        <v>152</v>
      </c>
      <c r="C14">
        <f>C13/B9</f>
        <v>3000</v>
      </c>
      <c r="H14" s="3">
        <v>9</v>
      </c>
      <c r="I14" s="3">
        <f t="shared" si="0"/>
        <v>4000</v>
      </c>
      <c r="J14" s="3">
        <f t="shared" si="1"/>
        <v>200</v>
      </c>
      <c r="K14" s="3">
        <f>$I$6/10</f>
        <v>2000</v>
      </c>
      <c r="L14" s="3">
        <f t="shared" si="3"/>
        <v>2200</v>
      </c>
      <c r="M14" s="3">
        <f t="shared" si="4"/>
        <v>2000</v>
      </c>
    </row>
    <row r="15" spans="1:13" ht="12.75">
      <c r="A15" t="s">
        <v>64</v>
      </c>
      <c r="C15">
        <v>500</v>
      </c>
      <c r="D15">
        <v>1000</v>
      </c>
      <c r="H15" s="3">
        <v>10</v>
      </c>
      <c r="I15" s="3">
        <f>I14-K14</f>
        <v>2000</v>
      </c>
      <c r="J15" s="3">
        <f>I15*$B$10</f>
        <v>100</v>
      </c>
      <c r="K15" s="3">
        <f t="shared" si="2"/>
        <v>2000</v>
      </c>
      <c r="L15" s="3">
        <f t="shared" si="3"/>
        <v>2100</v>
      </c>
      <c r="M15" s="3">
        <f t="shared" si="4"/>
        <v>0</v>
      </c>
    </row>
    <row r="16" spans="1:3" ht="12.75">
      <c r="A16" t="s">
        <v>65</v>
      </c>
      <c r="B16" t="s">
        <v>4</v>
      </c>
      <c r="C16">
        <v>1000</v>
      </c>
    </row>
    <row r="17" ht="12.75">
      <c r="A17" s="9" t="s">
        <v>5</v>
      </c>
    </row>
    <row r="18" ht="12.75">
      <c r="A18" t="s">
        <v>81</v>
      </c>
    </row>
    <row r="19" spans="1:4" ht="12.75">
      <c r="A19" t="s">
        <v>6</v>
      </c>
      <c r="C19" t="s">
        <v>7</v>
      </c>
      <c r="D19" t="s">
        <v>8</v>
      </c>
    </row>
    <row r="20" spans="1:5" ht="12.75">
      <c r="A20" t="s">
        <v>65</v>
      </c>
      <c r="B20" t="s">
        <v>39</v>
      </c>
      <c r="D20">
        <v>144000</v>
      </c>
      <c r="E20" t="s">
        <v>9</v>
      </c>
    </row>
    <row r="21" spans="1:8" ht="12.75">
      <c r="A21" t="s">
        <v>66</v>
      </c>
      <c r="B21">
        <v>0.08</v>
      </c>
      <c r="C21" t="s">
        <v>150</v>
      </c>
      <c r="H21">
        <f>144000*0.0275</f>
        <v>3960</v>
      </c>
    </row>
    <row r="22" spans="1:3" ht="12.75">
      <c r="A22" t="s">
        <v>67</v>
      </c>
      <c r="B22">
        <f>B21*D20</f>
        <v>11520</v>
      </c>
      <c r="C22">
        <v>0</v>
      </c>
    </row>
    <row r="23" spans="1:4" ht="12.75">
      <c r="A23" t="s">
        <v>68</v>
      </c>
      <c r="C23">
        <v>160000</v>
      </c>
      <c r="D23" t="s">
        <v>151</v>
      </c>
    </row>
    <row r="25" ht="19.5">
      <c r="A25" s="10" t="s">
        <v>10</v>
      </c>
    </row>
    <row r="27" ht="12.75">
      <c r="A27" s="11" t="s">
        <v>69</v>
      </c>
    </row>
    <row r="28" spans="1:8" ht="12.75">
      <c r="A28" t="s">
        <v>137</v>
      </c>
      <c r="C28">
        <v>16000</v>
      </c>
      <c r="D28" t="s">
        <v>138</v>
      </c>
      <c r="E28">
        <v>2500</v>
      </c>
      <c r="H28" s="1" t="s">
        <v>85</v>
      </c>
    </row>
    <row r="29" spans="1:13" ht="12.75">
      <c r="A29" t="s">
        <v>12</v>
      </c>
      <c r="C29">
        <v>5</v>
      </c>
      <c r="D29" t="s">
        <v>2</v>
      </c>
      <c r="H29" s="3"/>
      <c r="I29" s="3" t="s">
        <v>76</v>
      </c>
      <c r="J29" s="3" t="s">
        <v>62</v>
      </c>
      <c r="K29" s="3" t="s">
        <v>94</v>
      </c>
      <c r="L29" s="3" t="s">
        <v>95</v>
      </c>
      <c r="M29" s="3" t="s">
        <v>74</v>
      </c>
    </row>
    <row r="30" spans="1:13" ht="12.75">
      <c r="A30" t="s">
        <v>51</v>
      </c>
      <c r="C30">
        <v>3000</v>
      </c>
      <c r="F30">
        <f>C28*0.2</f>
        <v>3200</v>
      </c>
      <c r="H30" s="3">
        <v>1</v>
      </c>
      <c r="I30" s="3">
        <f>C28-C35</f>
        <v>13500</v>
      </c>
      <c r="J30" s="3">
        <f>I30*$C$34</f>
        <v>1215</v>
      </c>
      <c r="K30" s="3">
        <f>$I$30/$C$29</f>
        <v>2700</v>
      </c>
      <c r="L30" s="3">
        <f>J30+K30</f>
        <v>3915</v>
      </c>
      <c r="M30" s="3">
        <f>I30-K30</f>
        <v>10800</v>
      </c>
    </row>
    <row r="31" spans="1:13" ht="12.75">
      <c r="A31" t="s">
        <v>70</v>
      </c>
      <c r="C31">
        <v>1000</v>
      </c>
      <c r="H31" s="3">
        <v>2</v>
      </c>
      <c r="I31" s="3">
        <f>I30-K30</f>
        <v>10800</v>
      </c>
      <c r="J31" s="3">
        <f>I31*$C$34</f>
        <v>972</v>
      </c>
      <c r="K31" s="3">
        <f>$I$30/$C$29</f>
        <v>2700</v>
      </c>
      <c r="L31" s="3">
        <f>J31+K31</f>
        <v>3672</v>
      </c>
      <c r="M31" s="3">
        <f>I31-K31</f>
        <v>8100</v>
      </c>
    </row>
    <row r="32" spans="8:13" ht="12.75">
      <c r="H32" s="3">
        <v>3</v>
      </c>
      <c r="I32" s="3">
        <f>I31-K31</f>
        <v>8100</v>
      </c>
      <c r="J32" s="3">
        <f>I32*$C$34</f>
        <v>729</v>
      </c>
      <c r="K32" s="3">
        <f>$I$30/$C$29</f>
        <v>2700</v>
      </c>
      <c r="L32" s="3">
        <f>J32+K32</f>
        <v>3429</v>
      </c>
      <c r="M32" s="3">
        <f>I32-K32</f>
        <v>5400</v>
      </c>
    </row>
    <row r="33" spans="1:13" ht="12.75">
      <c r="A33" s="8" t="s">
        <v>13</v>
      </c>
      <c r="H33" s="3">
        <v>4</v>
      </c>
      <c r="I33" s="3">
        <f>I32-K32</f>
        <v>5400</v>
      </c>
      <c r="J33" s="3">
        <f>I33*$C$34</f>
        <v>486</v>
      </c>
      <c r="K33" s="3">
        <f>$I$30/$C$29</f>
        <v>2700</v>
      </c>
      <c r="L33" s="3">
        <f>J33+K33</f>
        <v>3186</v>
      </c>
      <c r="M33" s="3">
        <f>I33-K33</f>
        <v>2700</v>
      </c>
    </row>
    <row r="34" spans="1:13" ht="12.75">
      <c r="A34" t="s">
        <v>62</v>
      </c>
      <c r="C34" s="2">
        <v>0.09</v>
      </c>
      <c r="H34" s="3">
        <v>5</v>
      </c>
      <c r="I34" s="3">
        <f>I33-K33</f>
        <v>2700</v>
      </c>
      <c r="J34" s="3">
        <f>I34*$C$34</f>
        <v>243</v>
      </c>
      <c r="K34" s="3">
        <f>$I$30/$C$29</f>
        <v>2700</v>
      </c>
      <c r="L34" s="3">
        <f>J34+K34</f>
        <v>2943</v>
      </c>
      <c r="M34" s="3">
        <f>I34-K34</f>
        <v>0</v>
      </c>
    </row>
    <row r="35" spans="1:3" ht="12.75">
      <c r="A35" t="s">
        <v>71</v>
      </c>
      <c r="C35">
        <v>2500</v>
      </c>
    </row>
    <row r="36" ht="12.75">
      <c r="A36" t="s">
        <v>73</v>
      </c>
    </row>
    <row r="37" spans="1:2" ht="12.75">
      <c r="A37" t="s">
        <v>74</v>
      </c>
      <c r="B37" t="s">
        <v>14</v>
      </c>
    </row>
    <row r="38" spans="1:2" ht="12.75">
      <c r="A38" t="s">
        <v>1</v>
      </c>
      <c r="B38" t="s">
        <v>15</v>
      </c>
    </row>
    <row r="41" ht="12.75">
      <c r="A41" s="11" t="s">
        <v>16</v>
      </c>
    </row>
    <row r="43" spans="1:5" ht="12.75">
      <c r="A43" t="s">
        <v>75</v>
      </c>
      <c r="B43" s="17">
        <v>1.2</v>
      </c>
      <c r="C43" s="18" t="s">
        <v>82</v>
      </c>
      <c r="D43" s="17">
        <v>1.25</v>
      </c>
      <c r="E43" t="s">
        <v>17</v>
      </c>
    </row>
    <row r="44" spans="1:3" ht="12.75">
      <c r="A44" t="s">
        <v>18</v>
      </c>
      <c r="C44">
        <v>35000</v>
      </c>
    </row>
    <row r="45" spans="1:8" ht="12.75">
      <c r="A45" t="s">
        <v>1</v>
      </c>
      <c r="C45">
        <v>4</v>
      </c>
      <c r="D45" t="s">
        <v>2</v>
      </c>
      <c r="H45" s="1" t="s">
        <v>86</v>
      </c>
    </row>
    <row r="46" spans="1:13" ht="12.75">
      <c r="A46" t="s">
        <v>19</v>
      </c>
      <c r="C46">
        <v>1000</v>
      </c>
      <c r="H46" s="3" t="s">
        <v>89</v>
      </c>
      <c r="I46" s="3" t="s">
        <v>76</v>
      </c>
      <c r="J46" s="3" t="s">
        <v>62</v>
      </c>
      <c r="K46" s="3" t="s">
        <v>94</v>
      </c>
      <c r="L46" s="3" t="s">
        <v>95</v>
      </c>
      <c r="M46" s="3" t="s">
        <v>74</v>
      </c>
    </row>
    <row r="47" spans="1:13" ht="12.75">
      <c r="A47" t="s">
        <v>56</v>
      </c>
      <c r="C47">
        <v>8000</v>
      </c>
      <c r="D47" s="12" t="s">
        <v>83</v>
      </c>
      <c r="H47" s="5">
        <v>1</v>
      </c>
      <c r="I47" s="5">
        <f>C49</f>
        <v>28000</v>
      </c>
      <c r="J47" s="5">
        <f>I47*0.12</f>
        <v>3360</v>
      </c>
      <c r="K47" s="5">
        <f>L47-J47</f>
        <v>8297.771455666192</v>
      </c>
      <c r="L47" s="5">
        <f>PMT(0.12,3,-I47)</f>
        <v>11657.771455666192</v>
      </c>
      <c r="M47" s="5">
        <f>I47-K47</f>
        <v>19702.228544333808</v>
      </c>
    </row>
    <row r="48" spans="1:13" ht="12.75">
      <c r="A48" t="s">
        <v>84</v>
      </c>
      <c r="C48">
        <v>2000</v>
      </c>
      <c r="H48" s="3">
        <v>2</v>
      </c>
      <c r="I48" s="5">
        <f>M47</f>
        <v>19702.228544333808</v>
      </c>
      <c r="J48" s="5">
        <f>I48*0.12</f>
        <v>2364.2674253200566</v>
      </c>
      <c r="K48" s="5">
        <f>L48-J48</f>
        <v>9293.504030346136</v>
      </c>
      <c r="L48" s="5">
        <f>$L$47</f>
        <v>11657.771455666192</v>
      </c>
      <c r="M48" s="5">
        <f>I48-K48</f>
        <v>10408.724513987672</v>
      </c>
    </row>
    <row r="49" spans="1:13" ht="12.75">
      <c r="A49" t="s">
        <v>76</v>
      </c>
      <c r="C49">
        <f>C44*0.8</f>
        <v>28000</v>
      </c>
      <c r="H49" s="3">
        <v>3</v>
      </c>
      <c r="I49" s="5">
        <f>M48</f>
        <v>10408.724513987672</v>
      </c>
      <c r="J49" s="5">
        <f>I49*0.12</f>
        <v>1249.0469416785206</v>
      </c>
      <c r="K49" s="5">
        <f>L49-J49</f>
        <v>10408.724513987672</v>
      </c>
      <c r="L49" s="5">
        <f>$L$47</f>
        <v>11657.771455666192</v>
      </c>
      <c r="M49" s="5">
        <f>I49-K49</f>
        <v>0</v>
      </c>
    </row>
    <row r="50" spans="1:12" ht="12.75">
      <c r="A50" t="s">
        <v>62</v>
      </c>
      <c r="C50" s="2">
        <v>0.12</v>
      </c>
      <c r="L50" s="4"/>
    </row>
    <row r="51" spans="1:9" ht="12.75">
      <c r="A51" t="s">
        <v>77</v>
      </c>
      <c r="I51" s="4"/>
    </row>
    <row r="52" spans="1:12" ht="12.75">
      <c r="A52" s="45" t="s">
        <v>188</v>
      </c>
      <c r="C52">
        <f>(C44-C46)/5</f>
        <v>6800</v>
      </c>
      <c r="L52" s="4"/>
    </row>
    <row r="53" spans="1:3" ht="12.75">
      <c r="A53" s="45" t="s">
        <v>192</v>
      </c>
      <c r="C53">
        <f>0.2*C52</f>
        <v>1360</v>
      </c>
    </row>
    <row r="54" spans="1:3" ht="12.75">
      <c r="A54" t="s">
        <v>20</v>
      </c>
      <c r="C54">
        <v>1000</v>
      </c>
    </row>
    <row r="55" ht="12.75">
      <c r="A55" t="s">
        <v>78</v>
      </c>
    </row>
    <row r="56" spans="1:3" ht="12.75">
      <c r="A56" t="s">
        <v>3</v>
      </c>
      <c r="C56" s="2">
        <v>0.1</v>
      </c>
    </row>
    <row r="58" spans="1:4" ht="12.75">
      <c r="A58" t="s">
        <v>79</v>
      </c>
      <c r="C58" s="4">
        <v>47000</v>
      </c>
      <c r="D58" t="s">
        <v>21</v>
      </c>
    </row>
    <row r="59" spans="1:4" ht="12.75">
      <c r="A59" t="s">
        <v>1</v>
      </c>
      <c r="C59">
        <v>5</v>
      </c>
      <c r="D59" t="s">
        <v>2</v>
      </c>
    </row>
    <row r="62" ht="12.75">
      <c r="A62" s="1" t="s">
        <v>40</v>
      </c>
    </row>
    <row r="63" spans="1:3" ht="12.75">
      <c r="A63" t="s">
        <v>41</v>
      </c>
      <c r="B63" s="4">
        <v>40000</v>
      </c>
      <c r="C63" t="s">
        <v>42</v>
      </c>
    </row>
    <row r="64" spans="1:2" ht="12.75">
      <c r="A64" t="s">
        <v>43</v>
      </c>
      <c r="B64" s="4">
        <f>4</f>
        <v>4</v>
      </c>
    </row>
    <row r="65" spans="1:2" ht="12.75">
      <c r="A65" t="s">
        <v>44</v>
      </c>
      <c r="B65" s="4">
        <f>B63*B64</f>
        <v>160000</v>
      </c>
    </row>
    <row r="66" spans="1:2" ht="12.75">
      <c r="A66" t="s">
        <v>80</v>
      </c>
      <c r="B66">
        <f>B21</f>
        <v>0.08</v>
      </c>
    </row>
    <row r="67" spans="1:2" ht="12.75">
      <c r="A67" t="s">
        <v>45</v>
      </c>
      <c r="B67" s="4">
        <f>B65*B66</f>
        <v>12800</v>
      </c>
    </row>
    <row r="82" spans="10:16" ht="12.75">
      <c r="J82" s="6"/>
      <c r="K82" s="6"/>
      <c r="L82" s="6"/>
      <c r="M82" s="6"/>
      <c r="N82" s="6"/>
      <c r="O82" s="6"/>
      <c r="P82" s="6"/>
    </row>
    <row r="83" spans="10:16" ht="12.75">
      <c r="J83" s="6"/>
      <c r="K83" s="6"/>
      <c r="L83" s="6"/>
      <c r="M83" s="6"/>
      <c r="N83" s="6"/>
      <c r="O83" s="6"/>
      <c r="P83" s="6"/>
    </row>
    <row r="84" spans="10:16" ht="12.75">
      <c r="J84" s="6"/>
      <c r="K84" s="6"/>
      <c r="L84" s="6"/>
      <c r="M84" s="6"/>
      <c r="N84" s="6"/>
      <c r="O84" s="6"/>
      <c r="P84" s="6"/>
    </row>
    <row r="114" spans="10:16" ht="12.75">
      <c r="J114" s="6"/>
      <c r="K114" s="6"/>
      <c r="L114" s="6"/>
      <c r="M114" s="6"/>
      <c r="N114" s="6"/>
      <c r="O114" s="6"/>
      <c r="P114" s="6"/>
    </row>
    <row r="115" spans="10:16" ht="12.75">
      <c r="J115" s="6"/>
      <c r="K115" s="6"/>
      <c r="L115" s="6"/>
      <c r="M115" s="6"/>
      <c r="N115" s="6"/>
      <c r="O115" s="6"/>
      <c r="P115" s="6"/>
    </row>
    <row r="116" spans="10:16" ht="12.75">
      <c r="J116" s="6"/>
      <c r="K116" s="6"/>
      <c r="L116" s="6"/>
      <c r="M116" s="6"/>
      <c r="N116" s="6"/>
      <c r="O116" s="6"/>
      <c r="P116" s="6"/>
    </row>
    <row r="117" spans="10:16" ht="12.75">
      <c r="J117" s="6"/>
      <c r="K117" s="6"/>
      <c r="L117" s="6"/>
      <c r="M117" s="6"/>
      <c r="N117" s="6"/>
      <c r="O117" s="6"/>
      <c r="P117" s="6"/>
    </row>
  </sheetData>
  <sheetProtection/>
  <printOptions/>
  <pageMargins left="0.7874015748031497" right="0.7874015748031497" top="0.984251968503937" bottom="0.984251968503937" header="0" footer="0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41"/>
  <sheetViews>
    <sheetView zoomScale="85" zoomScaleNormal="85" zoomScalePageLayoutView="0" workbookViewId="0" topLeftCell="A1">
      <selection activeCell="C12" sqref="C12"/>
    </sheetView>
  </sheetViews>
  <sheetFormatPr defaultColWidth="11.421875" defaultRowHeight="12.75"/>
  <cols>
    <col min="1" max="1" width="22.7109375" style="0" bestFit="1" customWidth="1"/>
    <col min="2" max="2" width="13.28125" style="0" bestFit="1" customWidth="1"/>
    <col min="3" max="3" width="13.7109375" style="0" bestFit="1" customWidth="1"/>
    <col min="8" max="8" width="13.7109375" style="0" bestFit="1" customWidth="1"/>
    <col min="16" max="16" width="30.7109375" style="0" customWidth="1"/>
  </cols>
  <sheetData>
    <row r="2" spans="2:7" ht="18">
      <c r="B2" s="29" t="s">
        <v>87</v>
      </c>
      <c r="C2" s="22"/>
      <c r="D2" s="22"/>
      <c r="E2" s="22"/>
      <c r="F2" s="22"/>
      <c r="G2" s="22"/>
    </row>
    <row r="4" ht="12.75">
      <c r="A4" t="s">
        <v>140</v>
      </c>
    </row>
    <row r="5" ht="12.75">
      <c r="A5" t="s">
        <v>141</v>
      </c>
    </row>
    <row r="6" spans="1:11" ht="12.75">
      <c r="A6" t="s">
        <v>142</v>
      </c>
      <c r="J6" t="s">
        <v>11</v>
      </c>
      <c r="K6">
        <v>1.25</v>
      </c>
    </row>
    <row r="7" ht="12.75">
      <c r="A7" t="s">
        <v>143</v>
      </c>
    </row>
    <row r="9" ht="12.75">
      <c r="D9" s="1" t="s">
        <v>22</v>
      </c>
    </row>
    <row r="11" spans="1:8" ht="12.75">
      <c r="A11" s="19" t="s">
        <v>89</v>
      </c>
      <c r="B11" s="19"/>
      <c r="C11" s="19">
        <v>2018</v>
      </c>
      <c r="D11" s="19">
        <v>2019</v>
      </c>
      <c r="E11" s="19">
        <v>2020</v>
      </c>
      <c r="F11" s="19">
        <v>2021</v>
      </c>
      <c r="G11" s="19">
        <v>2022</v>
      </c>
      <c r="H11" s="19" t="s">
        <v>88</v>
      </c>
    </row>
    <row r="12" spans="1:8" ht="12.75">
      <c r="A12" s="19" t="s">
        <v>24</v>
      </c>
      <c r="B12" s="23"/>
      <c r="C12" s="24">
        <f>C13*C14</f>
        <v>58750</v>
      </c>
      <c r="D12" s="24">
        <f>D13*D14</f>
        <v>58750</v>
      </c>
      <c r="E12" s="24">
        <f>E13*E14</f>
        <v>58750</v>
      </c>
      <c r="F12" s="24">
        <f>F13*F14</f>
        <v>58750</v>
      </c>
      <c r="G12" s="24">
        <f>G13*G14</f>
        <v>58750</v>
      </c>
      <c r="H12" s="23"/>
    </row>
    <row r="13" spans="1:8" ht="12.75">
      <c r="A13" s="20" t="s">
        <v>23</v>
      </c>
      <c r="B13" s="23"/>
      <c r="C13" s="24">
        <f>Datos!$C$58</f>
        <v>47000</v>
      </c>
      <c r="D13" s="24">
        <f>Datos!$C$58</f>
        <v>47000</v>
      </c>
      <c r="E13" s="24">
        <f>Datos!$C$58</f>
        <v>47000</v>
      </c>
      <c r="F13" s="24">
        <f>Datos!$C$58</f>
        <v>47000</v>
      </c>
      <c r="G13" s="24">
        <f>Datos!$C$58</f>
        <v>47000</v>
      </c>
      <c r="H13" s="23"/>
    </row>
    <row r="14" spans="1:8" ht="12.75">
      <c r="A14" s="20" t="s">
        <v>11</v>
      </c>
      <c r="B14" s="23"/>
      <c r="C14" s="33">
        <f>$K$6</f>
        <v>1.25</v>
      </c>
      <c r="D14" s="33">
        <f>$K$6</f>
        <v>1.25</v>
      </c>
      <c r="E14" s="33">
        <f>$K$6</f>
        <v>1.25</v>
      </c>
      <c r="F14" s="33">
        <f>$K$6</f>
        <v>1.25</v>
      </c>
      <c r="G14" s="33">
        <f>$K$6</f>
        <v>1.25</v>
      </c>
      <c r="H14" s="23"/>
    </row>
    <row r="15" spans="1:17" ht="12.75">
      <c r="A15" s="20"/>
      <c r="B15" s="23"/>
      <c r="C15" s="23"/>
      <c r="D15" s="23"/>
      <c r="E15" s="23"/>
      <c r="F15" s="23"/>
      <c r="G15" s="23"/>
      <c r="H15" s="23"/>
      <c r="Q15">
        <f>C22/C12</f>
        <v>0.3404255319148936</v>
      </c>
    </row>
    <row r="16" spans="1:8" ht="12.75">
      <c r="A16" s="19" t="s">
        <v>25</v>
      </c>
      <c r="B16" s="23"/>
      <c r="C16" s="24"/>
      <c r="D16" s="24"/>
      <c r="E16" s="24"/>
      <c r="F16" s="24"/>
      <c r="G16" s="24"/>
      <c r="H16" s="23"/>
    </row>
    <row r="17" spans="1:9" ht="12.75">
      <c r="A17" s="20" t="s">
        <v>91</v>
      </c>
      <c r="B17" s="24">
        <f>Datos!I9</f>
        <v>14000</v>
      </c>
      <c r="C17" s="24"/>
      <c r="D17" s="24"/>
      <c r="E17" s="24"/>
      <c r="F17" s="24"/>
      <c r="G17" s="24"/>
      <c r="H17" s="23"/>
      <c r="I17" s="45" t="s">
        <v>176</v>
      </c>
    </row>
    <row r="18" spans="1:8" ht="12.75">
      <c r="A18" s="19" t="s">
        <v>48</v>
      </c>
      <c r="B18" s="23"/>
      <c r="C18" s="24"/>
      <c r="D18" s="24"/>
      <c r="E18" s="24"/>
      <c r="F18" s="24"/>
      <c r="G18" s="24"/>
      <c r="H18" s="23"/>
    </row>
    <row r="19" spans="1:8" ht="12.75">
      <c r="A19" s="20" t="s">
        <v>90</v>
      </c>
      <c r="B19" s="23">
        <f>-Hoja1!I31</f>
        <v>-5852</v>
      </c>
      <c r="C19" s="24"/>
      <c r="D19" s="24"/>
      <c r="E19" s="24"/>
      <c r="F19" s="24"/>
      <c r="G19" s="24"/>
      <c r="H19" s="23">
        <f>-B19</f>
        <v>5852</v>
      </c>
    </row>
    <row r="20" spans="1:16" ht="12.75">
      <c r="A20" s="20" t="s">
        <v>28</v>
      </c>
      <c r="B20" s="23">
        <f>-Hoja1!D34</f>
        <v>-21000</v>
      </c>
      <c r="C20" s="24"/>
      <c r="D20" s="24"/>
      <c r="E20" s="24"/>
      <c r="F20" s="24"/>
      <c r="G20" s="24"/>
      <c r="H20" s="25">
        <f>-B20-(G26*5)</f>
        <v>6000</v>
      </c>
      <c r="I20" s="45" t="s">
        <v>177</v>
      </c>
      <c r="P20" t="s">
        <v>196</v>
      </c>
    </row>
    <row r="21" spans="1:22" ht="12.75">
      <c r="A21" s="19" t="s">
        <v>29</v>
      </c>
      <c r="B21" s="23"/>
      <c r="C21" s="24"/>
      <c r="D21" s="24"/>
      <c r="E21" s="24"/>
      <c r="F21" s="24"/>
      <c r="G21" s="24"/>
      <c r="H21" s="23"/>
      <c r="P21" t="s">
        <v>89</v>
      </c>
      <c r="Q21">
        <v>2017</v>
      </c>
      <c r="R21">
        <v>2018</v>
      </c>
      <c r="S21">
        <v>2019</v>
      </c>
      <c r="T21">
        <v>2020</v>
      </c>
      <c r="U21">
        <v>2021</v>
      </c>
      <c r="V21">
        <v>2022</v>
      </c>
    </row>
    <row r="22" spans="1:22" ht="12.75">
      <c r="A22" s="20" t="s">
        <v>127</v>
      </c>
      <c r="B22" s="23"/>
      <c r="C22" s="24">
        <f>Hoja1!$B$9</f>
        <v>20000</v>
      </c>
      <c r="D22" s="24">
        <f>Hoja1!$B$9</f>
        <v>20000</v>
      </c>
      <c r="E22" s="24">
        <f>Hoja1!$B$9</f>
        <v>20000</v>
      </c>
      <c r="F22" s="24">
        <f>Hoja1!$B$9</f>
        <v>20000</v>
      </c>
      <c r="G22" s="24">
        <f>Hoja1!$B$9</f>
        <v>20000</v>
      </c>
      <c r="H22" s="23"/>
      <c r="I22" s="45" t="s">
        <v>179</v>
      </c>
      <c r="J22" s="4"/>
      <c r="P22" t="s">
        <v>197</v>
      </c>
      <c r="R22" s="4">
        <f>C12</f>
        <v>58750</v>
      </c>
      <c r="S22" s="4">
        <f>D12</f>
        <v>58750</v>
      </c>
      <c r="T22" s="4">
        <f>E12</f>
        <v>58750</v>
      </c>
      <c r="U22" s="4">
        <f>F12</f>
        <v>58750</v>
      </c>
      <c r="V22" s="4">
        <f>G12</f>
        <v>58750</v>
      </c>
    </row>
    <row r="23" spans="1:22" ht="12.75">
      <c r="A23" s="20" t="s">
        <v>128</v>
      </c>
      <c r="B23" s="23"/>
      <c r="C23" s="24">
        <f>Hoja1!$B$11</f>
        <v>16000</v>
      </c>
      <c r="D23" s="24">
        <f>Hoja1!$B$11</f>
        <v>16000</v>
      </c>
      <c r="E23" s="24">
        <f>Hoja1!$B$11</f>
        <v>16000</v>
      </c>
      <c r="F23" s="24">
        <f>Hoja1!$B$11</f>
        <v>16000</v>
      </c>
      <c r="G23" s="24">
        <f>Hoja1!$B$11</f>
        <v>16000</v>
      </c>
      <c r="H23" s="23"/>
      <c r="I23" s="45" t="s">
        <v>180</v>
      </c>
      <c r="P23" t="s">
        <v>198</v>
      </c>
      <c r="R23" s="4">
        <f>SUM(R24:R25)</f>
        <v>32800</v>
      </c>
      <c r="S23" s="4">
        <f>SUM(S24:S25)</f>
        <v>32800</v>
      </c>
      <c r="T23" s="4">
        <f>SUM(T24:T25)</f>
        <v>32800</v>
      </c>
      <c r="U23" s="4">
        <f>SUM(U24:U25)</f>
        <v>32800</v>
      </c>
      <c r="V23" s="4">
        <f>SUM(V24:V25)</f>
        <v>32800</v>
      </c>
    </row>
    <row r="24" spans="1:22" ht="12.75">
      <c r="A24" s="20" t="s">
        <v>30</v>
      </c>
      <c r="B24" s="23"/>
      <c r="C24" s="24">
        <f>Datos!$B$67</f>
        <v>12800</v>
      </c>
      <c r="D24" s="24">
        <f>Datos!$B$67</f>
        <v>12800</v>
      </c>
      <c r="E24" s="24">
        <f>Datos!$B$67</f>
        <v>12800</v>
      </c>
      <c r="F24" s="24">
        <f>Datos!$B$67</f>
        <v>12800</v>
      </c>
      <c r="G24" s="24">
        <f>Datos!$B$67</f>
        <v>12800</v>
      </c>
      <c r="H24" s="23"/>
      <c r="P24" t="s">
        <v>211</v>
      </c>
      <c r="R24" s="4">
        <f>C24</f>
        <v>12800</v>
      </c>
      <c r="S24" s="4">
        <f>D24</f>
        <v>12800</v>
      </c>
      <c r="T24" s="4">
        <f>E24</f>
        <v>12800</v>
      </c>
      <c r="U24" s="4">
        <f>F24</f>
        <v>12800</v>
      </c>
      <c r="V24" s="4">
        <f>G24</f>
        <v>12800</v>
      </c>
    </row>
    <row r="25" spans="1:22" ht="12.75">
      <c r="A25" s="20" t="s">
        <v>31</v>
      </c>
      <c r="B25" s="23"/>
      <c r="C25" s="24">
        <f>Datos!J9</f>
        <v>700</v>
      </c>
      <c r="D25" s="24">
        <f>Datos!J10</f>
        <v>600</v>
      </c>
      <c r="E25" s="24">
        <f>Datos!J11</f>
        <v>500</v>
      </c>
      <c r="F25" s="24">
        <f>Datos!J12</f>
        <v>400</v>
      </c>
      <c r="G25" s="24">
        <f>Datos!J13</f>
        <v>300</v>
      </c>
      <c r="H25" s="23"/>
      <c r="I25" s="45" t="s">
        <v>175</v>
      </c>
      <c r="P25" t="s">
        <v>209</v>
      </c>
      <c r="R25" s="4">
        <f>C22</f>
        <v>20000</v>
      </c>
      <c r="S25" s="4">
        <f>D22</f>
        <v>20000</v>
      </c>
      <c r="T25" s="4">
        <f>E22</f>
        <v>20000</v>
      </c>
      <c r="U25" s="4">
        <f>F22</f>
        <v>20000</v>
      </c>
      <c r="V25" s="4">
        <f>G22</f>
        <v>20000</v>
      </c>
    </row>
    <row r="26" spans="1:22" ht="12.75">
      <c r="A26" s="20" t="s">
        <v>32</v>
      </c>
      <c r="B26" s="23"/>
      <c r="C26" s="24">
        <f>Datos!$C$14</f>
        <v>3000</v>
      </c>
      <c r="D26" s="24">
        <f>Datos!$C$14</f>
        <v>3000</v>
      </c>
      <c r="E26" s="24">
        <f>Datos!$C$14</f>
        <v>3000</v>
      </c>
      <c r="F26" s="24">
        <f>Datos!$C$14</f>
        <v>3000</v>
      </c>
      <c r="G26" s="24">
        <f>Datos!$C$14</f>
        <v>3000</v>
      </c>
      <c r="H26" s="23"/>
      <c r="I26" s="47" t="s">
        <v>178</v>
      </c>
      <c r="P26" t="s">
        <v>199</v>
      </c>
      <c r="R26" s="4">
        <f>C23</f>
        <v>16000</v>
      </c>
      <c r="S26" s="4">
        <f>D23</f>
        <v>16000</v>
      </c>
      <c r="T26" s="4">
        <f>E23</f>
        <v>16000</v>
      </c>
      <c r="U26" s="4">
        <f>F23</f>
        <v>16000</v>
      </c>
      <c r="V26" s="4">
        <f>G23</f>
        <v>16000</v>
      </c>
    </row>
    <row r="27" spans="1:22" ht="12.75">
      <c r="A27" s="20" t="s">
        <v>33</v>
      </c>
      <c r="B27" s="23"/>
      <c r="C27" s="24">
        <f>C12-SUM(C22:C26)</f>
        <v>6250</v>
      </c>
      <c r="D27" s="24">
        <f>D12-SUM(D22:D26)</f>
        <v>6350</v>
      </c>
      <c r="E27" s="24">
        <f>E12-SUM(E22:E26)</f>
        <v>6450</v>
      </c>
      <c r="F27" s="24">
        <f>F12-SUM(F22:F26)</f>
        <v>6550</v>
      </c>
      <c r="G27" s="24">
        <f>G12-SUM(G22:G26)</f>
        <v>6650</v>
      </c>
      <c r="H27" s="23"/>
      <c r="P27" t="s">
        <v>233</v>
      </c>
      <c r="R27" s="4">
        <f>C25</f>
        <v>700</v>
      </c>
      <c r="S27" s="4">
        <f>D25</f>
        <v>600</v>
      </c>
      <c r="T27" s="4">
        <f>E25</f>
        <v>500</v>
      </c>
      <c r="U27" s="4">
        <f>F25</f>
        <v>400</v>
      </c>
      <c r="V27" s="4">
        <f>G25</f>
        <v>300</v>
      </c>
    </row>
    <row r="28" spans="1:22" ht="12.75">
      <c r="A28" s="20" t="s">
        <v>34</v>
      </c>
      <c r="B28" s="23"/>
      <c r="C28" s="24">
        <f>C27*$I$28</f>
        <v>1875</v>
      </c>
      <c r="D28" s="24">
        <f>D27*$I$28</f>
        <v>1905</v>
      </c>
      <c r="E28" s="24">
        <f>E27*$I$28</f>
        <v>1935</v>
      </c>
      <c r="F28" s="24">
        <f>F27*$I$28</f>
        <v>1965</v>
      </c>
      <c r="G28" s="24">
        <f>G27*$I$28</f>
        <v>1995</v>
      </c>
      <c r="H28" s="23"/>
      <c r="I28" s="2">
        <v>0.3</v>
      </c>
      <c r="P28" t="s">
        <v>203</v>
      </c>
      <c r="R28" s="4">
        <f>C26</f>
        <v>3000</v>
      </c>
      <c r="S28" s="4">
        <f>D26</f>
        <v>3000</v>
      </c>
      <c r="T28" s="4">
        <f>E26</f>
        <v>3000</v>
      </c>
      <c r="U28" s="4">
        <f>F26</f>
        <v>3000</v>
      </c>
      <c r="V28" s="4">
        <f>G26</f>
        <v>3000</v>
      </c>
    </row>
    <row r="29" spans="1:22" ht="12.75">
      <c r="A29" s="20" t="s">
        <v>35</v>
      </c>
      <c r="B29" s="23"/>
      <c r="C29" s="24">
        <f>C27-C28</f>
        <v>4375</v>
      </c>
      <c r="D29" s="24">
        <f>D27-D28</f>
        <v>4445</v>
      </c>
      <c r="E29" s="24">
        <f>E27-E28</f>
        <v>4515</v>
      </c>
      <c r="F29" s="24">
        <f>F27-F28</f>
        <v>4585</v>
      </c>
      <c r="G29" s="24">
        <f>G27-G28</f>
        <v>4655</v>
      </c>
      <c r="H29" s="23"/>
      <c r="P29" t="s">
        <v>200</v>
      </c>
      <c r="R29" s="4">
        <f>R22-R23-R26-R27-R28</f>
        <v>6250</v>
      </c>
      <c r="S29" s="4">
        <f>S22-S23-S26-S27-S28</f>
        <v>6350</v>
      </c>
      <c r="T29" s="4">
        <f>T22-T23-T26-T27-T28</f>
        <v>6450</v>
      </c>
      <c r="U29" s="4">
        <f>U22-U23-U26-U27-U28</f>
        <v>6550</v>
      </c>
      <c r="V29" s="4">
        <f>V22-V23-V26-V27-V28</f>
        <v>6650</v>
      </c>
    </row>
    <row r="30" spans="1:22" ht="12.75">
      <c r="A30" s="21" t="s">
        <v>36</v>
      </c>
      <c r="B30" s="23"/>
      <c r="C30" s="24">
        <f>C26</f>
        <v>3000</v>
      </c>
      <c r="D30" s="24">
        <f>D26</f>
        <v>3000</v>
      </c>
      <c r="E30" s="24">
        <f>E26</f>
        <v>3000</v>
      </c>
      <c r="F30" s="24">
        <f>F26</f>
        <v>3000</v>
      </c>
      <c r="G30" s="24">
        <f>G26</f>
        <v>3000</v>
      </c>
      <c r="H30" s="23"/>
      <c r="P30" t="s">
        <v>201</v>
      </c>
      <c r="R30">
        <f>R29*$I$28</f>
        <v>1875</v>
      </c>
      <c r="S30">
        <f>S29*$I$28</f>
        <v>1905</v>
      </c>
      <c r="T30">
        <f>T29*$I$28</f>
        <v>1935</v>
      </c>
      <c r="U30">
        <f>U29*$I$28</f>
        <v>1965</v>
      </c>
      <c r="V30">
        <f>V29*$I$28</f>
        <v>1995</v>
      </c>
    </row>
    <row r="31" spans="1:22" ht="12.75">
      <c r="A31" s="21" t="s">
        <v>37</v>
      </c>
      <c r="B31" s="23"/>
      <c r="C31" s="24">
        <f>Datos!$K$6</f>
        <v>2000</v>
      </c>
      <c r="D31" s="24">
        <f>Datos!$K$7</f>
        <v>2000</v>
      </c>
      <c r="E31" s="24">
        <f>Datos!$K$8</f>
        <v>2000</v>
      </c>
      <c r="F31" s="24">
        <f>Datos!$K$9</f>
        <v>2000</v>
      </c>
      <c r="G31" s="24">
        <f>Datos!K14+Datos!K15+Datos!K13</f>
        <v>6000</v>
      </c>
      <c r="H31" s="23"/>
      <c r="I31" s="45" t="s">
        <v>181</v>
      </c>
      <c r="P31" t="s">
        <v>202</v>
      </c>
      <c r="R31" s="4">
        <f>R29-R30</f>
        <v>4375</v>
      </c>
      <c r="S31" s="4">
        <f>S29-S30</f>
        <v>4445</v>
      </c>
      <c r="T31" s="4">
        <f>T29-T30</f>
        <v>4515</v>
      </c>
      <c r="U31" s="4">
        <f>U29-U30</f>
        <v>4585</v>
      </c>
      <c r="V31" s="4">
        <f>V29-V30</f>
        <v>4655</v>
      </c>
    </row>
    <row r="32" spans="1:22" ht="12.75">
      <c r="A32" s="19" t="s">
        <v>38</v>
      </c>
      <c r="B32" s="26">
        <f>B17+B19+B20</f>
        <v>-12852</v>
      </c>
      <c r="C32" s="26">
        <f>C30+C29-C31</f>
        <v>5375</v>
      </c>
      <c r="D32" s="26">
        <f>D30+D29-D31</f>
        <v>5445</v>
      </c>
      <c r="E32" s="26">
        <f>E30+E29-E31</f>
        <v>5515</v>
      </c>
      <c r="F32" s="26">
        <f>F30+F29-F31</f>
        <v>5585</v>
      </c>
      <c r="G32" s="26">
        <f>G30+G29-G31</f>
        <v>1655</v>
      </c>
      <c r="H32" s="26">
        <f>H20+H19</f>
        <v>11852</v>
      </c>
      <c r="P32" t="s">
        <v>203</v>
      </c>
      <c r="R32" s="4">
        <f>R28</f>
        <v>3000</v>
      </c>
      <c r="S32" s="4">
        <f>S28</f>
        <v>3000</v>
      </c>
      <c r="T32" s="4">
        <f>T28</f>
        <v>3000</v>
      </c>
      <c r="U32" s="4">
        <f>U28</f>
        <v>3000</v>
      </c>
      <c r="V32" s="4">
        <f>V28</f>
        <v>3000</v>
      </c>
    </row>
    <row r="33" spans="2:17" ht="12.75">
      <c r="B33" s="4">
        <f>B17+B19+B20</f>
        <v>-12852</v>
      </c>
      <c r="C33" s="4">
        <f>C32</f>
        <v>5375</v>
      </c>
      <c r="D33" s="4">
        <f>D32</f>
        <v>5445</v>
      </c>
      <c r="E33" s="4">
        <f>E32</f>
        <v>5515</v>
      </c>
      <c r="F33" s="4">
        <f>F32</f>
        <v>5585</v>
      </c>
      <c r="G33" s="4">
        <f>H32+G32</f>
        <v>13507</v>
      </c>
      <c r="P33" t="s">
        <v>204</v>
      </c>
      <c r="Q33" s="4">
        <f>B17</f>
        <v>14000</v>
      </c>
    </row>
    <row r="34" spans="1:17" ht="12.75">
      <c r="A34" s="19" t="s">
        <v>149</v>
      </c>
      <c r="B34" s="27">
        <f>NPV(0.32,C33:G33)+B33</f>
        <v>1952.9068237285883</v>
      </c>
      <c r="P34" t="s">
        <v>205</v>
      </c>
      <c r="Q34">
        <f>B19</f>
        <v>-5852</v>
      </c>
    </row>
    <row r="35" spans="16:17" ht="12.75">
      <c r="P35" t="s">
        <v>206</v>
      </c>
      <c r="Q35">
        <f>B20</f>
        <v>-21000</v>
      </c>
    </row>
    <row r="36" spans="3:22" ht="12.75">
      <c r="C36" s="13"/>
      <c r="P36" t="s">
        <v>207</v>
      </c>
      <c r="R36" s="4">
        <f>C31</f>
        <v>2000</v>
      </c>
      <c r="S36" s="4">
        <f>D31</f>
        <v>2000</v>
      </c>
      <c r="T36" s="4">
        <f>E31</f>
        <v>2000</v>
      </c>
      <c r="U36" s="4">
        <f>F31</f>
        <v>2000</v>
      </c>
      <c r="V36" s="4">
        <f>G31</f>
        <v>6000</v>
      </c>
    </row>
    <row r="37" spans="1:22" ht="12.75">
      <c r="A37" s="19" t="s">
        <v>136</v>
      </c>
      <c r="B37" s="28">
        <f>IRR(B33:G33)</f>
        <v>0.3894307033736435</v>
      </c>
      <c r="C37" s="2"/>
      <c r="D37" s="2"/>
      <c r="P37" t="s">
        <v>231</v>
      </c>
      <c r="V37">
        <f>H20</f>
        <v>6000</v>
      </c>
    </row>
    <row r="38" spans="2:22" ht="12.75">
      <c r="B38" s="16"/>
      <c r="C38" s="4"/>
      <c r="D38" s="4"/>
      <c r="E38" s="4"/>
      <c r="F38" s="4"/>
      <c r="G38" s="4"/>
      <c r="P38" t="s">
        <v>234</v>
      </c>
      <c r="V38">
        <f>H19</f>
        <v>5852</v>
      </c>
    </row>
    <row r="39" spans="16:22" ht="12.75">
      <c r="P39" t="s">
        <v>208</v>
      </c>
      <c r="Q39" s="4">
        <f>SUM(Q33:Q36)</f>
        <v>-12852</v>
      </c>
      <c r="R39" s="4">
        <f>R31+R32-R36</f>
        <v>5375</v>
      </c>
      <c r="S39" s="4">
        <f>S31+S32-S36</f>
        <v>5445</v>
      </c>
      <c r="T39" s="4">
        <f>T31+T32-T36</f>
        <v>5515</v>
      </c>
      <c r="U39" s="4">
        <f>U31+U32-U36</f>
        <v>5585</v>
      </c>
      <c r="V39" s="4">
        <f>V31+V32-V36+V37+V38</f>
        <v>13507</v>
      </c>
    </row>
    <row r="41" ht="12.75">
      <c r="E41" s="2"/>
    </row>
  </sheetData>
  <sheetProtection/>
  <printOptions/>
  <pageMargins left="0.75" right="0.75" top="1" bottom="1" header="0" footer="0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74"/>
  <sheetViews>
    <sheetView zoomScale="80" zoomScaleNormal="80" zoomScalePageLayoutView="0" workbookViewId="0" topLeftCell="A10">
      <selection activeCell="O42" sqref="O42"/>
    </sheetView>
  </sheetViews>
  <sheetFormatPr defaultColWidth="11.421875" defaultRowHeight="12.75"/>
  <cols>
    <col min="1" max="1" width="23.8515625" style="0" bestFit="1" customWidth="1"/>
    <col min="10" max="10" width="11.421875" style="0" customWidth="1"/>
    <col min="11" max="11" width="26.421875" style="0" customWidth="1"/>
    <col min="14" max="14" width="20.140625" style="0" customWidth="1"/>
    <col min="16" max="16" width="18.57421875" style="0" bestFit="1" customWidth="1"/>
  </cols>
  <sheetData>
    <row r="2" ht="18">
      <c r="C2" s="29" t="s">
        <v>92</v>
      </c>
    </row>
    <row r="4" ht="12.75">
      <c r="A4" t="s">
        <v>144</v>
      </c>
    </row>
    <row r="5" ht="12.75">
      <c r="A5" t="s">
        <v>145</v>
      </c>
    </row>
    <row r="9" ht="12.75">
      <c r="D9" s="1" t="s">
        <v>22</v>
      </c>
    </row>
    <row r="11" spans="1:8" ht="12.75">
      <c r="A11" s="19" t="s">
        <v>89</v>
      </c>
      <c r="B11" s="30"/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 t="s">
        <v>46</v>
      </c>
    </row>
    <row r="12" spans="1:11" ht="12.75">
      <c r="A12" s="19" t="s">
        <v>24</v>
      </c>
      <c r="B12" s="23"/>
      <c r="C12" s="24">
        <f>C13*C14</f>
        <v>58750</v>
      </c>
      <c r="D12" s="24">
        <f>D13*D14</f>
        <v>58750</v>
      </c>
      <c r="E12" s="24">
        <f>E13*E14</f>
        <v>58750</v>
      </c>
      <c r="F12" s="24">
        <f>F13*F14</f>
        <v>58750</v>
      </c>
      <c r="G12" s="24">
        <f>G13*G14</f>
        <v>58750</v>
      </c>
      <c r="H12" s="23"/>
      <c r="K12" s="49" t="s">
        <v>185</v>
      </c>
    </row>
    <row r="13" spans="1:8" ht="12.75">
      <c r="A13" s="20" t="s">
        <v>23</v>
      </c>
      <c r="B13" s="23"/>
      <c r="C13" s="24">
        <f>Datos!$C$58</f>
        <v>47000</v>
      </c>
      <c r="D13" s="24">
        <f>Datos!$C$58</f>
        <v>47000</v>
      </c>
      <c r="E13" s="24">
        <f>Datos!$C$58</f>
        <v>47000</v>
      </c>
      <c r="F13" s="24">
        <f>Datos!$C$58</f>
        <v>47000</v>
      </c>
      <c r="G13" s="24">
        <f>Datos!$C$58</f>
        <v>47000</v>
      </c>
      <c r="H13" s="23"/>
    </row>
    <row r="14" spans="1:8" ht="12.75">
      <c r="A14" s="20" t="s">
        <v>11</v>
      </c>
      <c r="B14" s="23"/>
      <c r="C14" s="33">
        <f>'Solo Barco'!$K$6</f>
        <v>1.25</v>
      </c>
      <c r="D14" s="33">
        <f>'Solo Barco'!$K$6</f>
        <v>1.25</v>
      </c>
      <c r="E14" s="33">
        <f>'Solo Barco'!$K$6</f>
        <v>1.25</v>
      </c>
      <c r="F14" s="33">
        <f>'Solo Barco'!$K$6</f>
        <v>1.25</v>
      </c>
      <c r="G14" s="33">
        <f>'Solo Barco'!$K$6</f>
        <v>1.25</v>
      </c>
      <c r="H14" s="23"/>
    </row>
    <row r="15" spans="1:8" ht="12.75">
      <c r="A15" s="20"/>
      <c r="B15" s="23"/>
      <c r="C15" s="23"/>
      <c r="D15" s="23"/>
      <c r="E15" s="23"/>
      <c r="F15" s="23"/>
      <c r="G15" s="23"/>
      <c r="H15" s="23"/>
    </row>
    <row r="16" spans="1:8" ht="12.75">
      <c r="A16" s="19" t="s">
        <v>25</v>
      </c>
      <c r="B16" s="23"/>
      <c r="C16" s="24"/>
      <c r="D16" s="24"/>
      <c r="E16" s="24"/>
      <c r="F16" s="24"/>
      <c r="G16" s="24"/>
      <c r="H16" s="23"/>
    </row>
    <row r="17" spans="1:8" ht="12.75">
      <c r="A17" s="20" t="s">
        <v>26</v>
      </c>
      <c r="B17" s="24">
        <f>'Solo Barco'!B17</f>
        <v>14000</v>
      </c>
      <c r="C17" s="24"/>
      <c r="D17" s="24"/>
      <c r="E17" s="24"/>
      <c r="F17" s="24"/>
      <c r="G17" s="24"/>
      <c r="H17" s="23"/>
    </row>
    <row r="18" spans="1:8" ht="12.75">
      <c r="A18" s="20" t="s">
        <v>47</v>
      </c>
      <c r="B18" s="24">
        <f>Datos!I30</f>
        <v>13500</v>
      </c>
      <c r="C18" s="24"/>
      <c r="D18" s="24"/>
      <c r="E18" s="24"/>
      <c r="F18" s="24"/>
      <c r="G18" s="24"/>
      <c r="H18" s="23"/>
    </row>
    <row r="19" spans="1:8" ht="12.75">
      <c r="A19" s="19" t="s">
        <v>48</v>
      </c>
      <c r="B19" s="23"/>
      <c r="C19" s="24"/>
      <c r="D19" s="24"/>
      <c r="E19" s="24"/>
      <c r="F19" s="24"/>
      <c r="G19" s="24"/>
      <c r="H19" s="23"/>
    </row>
    <row r="20" spans="1:8" ht="12.75">
      <c r="A20" s="20" t="s">
        <v>27</v>
      </c>
      <c r="B20" s="23">
        <f>'Solo Barco'!B19</f>
        <v>-5852</v>
      </c>
      <c r="C20" s="24"/>
      <c r="D20" s="24"/>
      <c r="E20" s="24"/>
      <c r="F20" s="24"/>
      <c r="G20" s="24"/>
      <c r="H20" s="23">
        <f>-B20</f>
        <v>5852</v>
      </c>
    </row>
    <row r="21" spans="1:8" ht="12.75">
      <c r="A21" s="20" t="s">
        <v>49</v>
      </c>
      <c r="B21" s="23">
        <f>-Hoja1!D34</f>
        <v>-21000</v>
      </c>
      <c r="C21" s="24"/>
      <c r="D21" s="24"/>
      <c r="E21" s="24"/>
      <c r="F21" s="24"/>
      <c r="G21" s="24"/>
      <c r="H21" s="23">
        <f>-B21-(G31*5)</f>
        <v>6000</v>
      </c>
    </row>
    <row r="22" spans="1:9" ht="12.75">
      <c r="A22" s="20" t="s">
        <v>50</v>
      </c>
      <c r="B22" s="23">
        <f>-(Datos!C28+Datos!E28)</f>
        <v>-18500</v>
      </c>
      <c r="C22" s="24"/>
      <c r="D22" s="24"/>
      <c r="E22" s="24"/>
      <c r="F22" s="24"/>
      <c r="G22" s="24"/>
      <c r="H22" s="23">
        <v>0</v>
      </c>
      <c r="I22" s="45" t="s">
        <v>182</v>
      </c>
    </row>
    <row r="23" spans="1:8" ht="12.75">
      <c r="A23" s="19" t="s">
        <v>29</v>
      </c>
      <c r="B23" s="23"/>
      <c r="C23" s="24"/>
      <c r="D23" s="24"/>
      <c r="E23" s="24"/>
      <c r="F23" s="24"/>
      <c r="G23" s="24"/>
      <c r="H23" s="23"/>
    </row>
    <row r="24" spans="1:8" ht="12.75">
      <c r="A24" s="20" t="s">
        <v>127</v>
      </c>
      <c r="B24" s="23"/>
      <c r="C24" s="24">
        <f>Hoja1!$B$9</f>
        <v>20000</v>
      </c>
      <c r="D24" s="24">
        <f>Hoja1!$B$9</f>
        <v>20000</v>
      </c>
      <c r="E24" s="24">
        <f>Hoja1!$B$9</f>
        <v>20000</v>
      </c>
      <c r="F24" s="24">
        <f>Hoja1!$B$9</f>
        <v>20000</v>
      </c>
      <c r="G24" s="24">
        <f>Hoja1!$B$9</f>
        <v>20000</v>
      </c>
      <c r="H24" s="23"/>
    </row>
    <row r="25" spans="1:8" ht="12.75">
      <c r="A25" s="20" t="s">
        <v>128</v>
      </c>
      <c r="B25" s="23"/>
      <c r="C25" s="24">
        <f>Hoja1!$B$11</f>
        <v>16000</v>
      </c>
      <c r="D25" s="24">
        <f>Hoja1!$B$11</f>
        <v>16000</v>
      </c>
      <c r="E25" s="24">
        <f>Hoja1!$B$11</f>
        <v>16000</v>
      </c>
      <c r="F25" s="24">
        <f>Hoja1!$B$11</f>
        <v>16000</v>
      </c>
      <c r="G25" s="24">
        <f>Hoja1!$B$11</f>
        <v>16000</v>
      </c>
      <c r="H25" s="23"/>
    </row>
    <row r="26" spans="1:8" ht="12.75">
      <c r="A26" s="20" t="s">
        <v>129</v>
      </c>
      <c r="B26" s="23"/>
      <c r="C26" s="24">
        <f>Datos!$C$31</f>
        <v>1000</v>
      </c>
      <c r="D26" s="24">
        <f>Datos!$C$31</f>
        <v>1000</v>
      </c>
      <c r="E26" s="24">
        <f>Datos!$C$31</f>
        <v>1000</v>
      </c>
      <c r="F26" s="24">
        <f>Datos!$C$31</f>
        <v>1000</v>
      </c>
      <c r="G26" s="24">
        <f>Datos!$C$31</f>
        <v>1000</v>
      </c>
      <c r="H26" s="23"/>
    </row>
    <row r="27" spans="1:8" ht="12.75">
      <c r="A27" s="20" t="s">
        <v>30</v>
      </c>
      <c r="B27" s="23"/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3"/>
    </row>
    <row r="28" spans="1:8" ht="12.75">
      <c r="A28" s="20" t="s">
        <v>183</v>
      </c>
      <c r="B28" s="23"/>
      <c r="C28" s="24">
        <f>Datos!$C$30</f>
        <v>3000</v>
      </c>
      <c r="D28" s="24">
        <f>Datos!$C$30</f>
        <v>3000</v>
      </c>
      <c r="E28" s="24">
        <f>Datos!$C$30</f>
        <v>3000</v>
      </c>
      <c r="F28" s="24">
        <f>Datos!$C$30</f>
        <v>3000</v>
      </c>
      <c r="G28" s="24">
        <f>Datos!$C$30</f>
        <v>3000</v>
      </c>
      <c r="H28" s="23"/>
    </row>
    <row r="29" spans="1:9" ht="12.75">
      <c r="A29" s="20" t="s">
        <v>53</v>
      </c>
      <c r="B29" s="23"/>
      <c r="C29" s="24">
        <f>'Solo Barco'!C25</f>
        <v>700</v>
      </c>
      <c r="D29" s="24">
        <f>'Solo Barco'!D25</f>
        <v>600</v>
      </c>
      <c r="E29" s="24">
        <f>'Solo Barco'!E25</f>
        <v>500</v>
      </c>
      <c r="F29" s="24">
        <f>'Solo Barco'!F25</f>
        <v>400</v>
      </c>
      <c r="G29" s="24">
        <f>'Solo Barco'!G25</f>
        <v>300</v>
      </c>
      <c r="H29" s="23"/>
      <c r="I29" s="45" t="s">
        <v>184</v>
      </c>
    </row>
    <row r="30" spans="1:8" ht="12.75">
      <c r="A30" s="20" t="s">
        <v>52</v>
      </c>
      <c r="B30" s="23"/>
      <c r="C30" s="24">
        <f>Datos!$J$30</f>
        <v>1215</v>
      </c>
      <c r="D30" s="24">
        <f>Datos!$J$31</f>
        <v>972</v>
      </c>
      <c r="E30" s="24">
        <f>Datos!$J$32</f>
        <v>729</v>
      </c>
      <c r="F30" s="24">
        <f>Datos!$J$33</f>
        <v>486</v>
      </c>
      <c r="G30" s="24">
        <f>Datos!J34</f>
        <v>243</v>
      </c>
      <c r="H30" s="23"/>
    </row>
    <row r="31" spans="1:9" ht="12.75">
      <c r="A31" s="20" t="s">
        <v>32</v>
      </c>
      <c r="B31" s="23"/>
      <c r="C31" s="24">
        <v>3000</v>
      </c>
      <c r="D31" s="24">
        <v>3000</v>
      </c>
      <c r="E31" s="24">
        <v>3000</v>
      </c>
      <c r="F31" s="24">
        <v>3000</v>
      </c>
      <c r="G31" s="24">
        <v>3000</v>
      </c>
      <c r="H31" s="23"/>
      <c r="I31" s="45" t="s">
        <v>174</v>
      </c>
    </row>
    <row r="32" spans="1:9" ht="12.75">
      <c r="A32" s="20" t="s">
        <v>54</v>
      </c>
      <c r="B32" s="23"/>
      <c r="C32" s="24">
        <f>-$B$22/5</f>
        <v>3700</v>
      </c>
      <c r="D32" s="24">
        <f>-$B$22/5</f>
        <v>3700</v>
      </c>
      <c r="E32" s="24">
        <f>-$B$22/5</f>
        <v>3700</v>
      </c>
      <c r="F32" s="24">
        <f>-$B$22/5</f>
        <v>3700</v>
      </c>
      <c r="G32" s="24">
        <f>-$B$22/5</f>
        <v>3700</v>
      </c>
      <c r="H32" s="23"/>
      <c r="I32" s="45" t="s">
        <v>186</v>
      </c>
    </row>
    <row r="33" spans="1:20" ht="12.75">
      <c r="A33" s="20" t="s">
        <v>33</v>
      </c>
      <c r="B33" s="23"/>
      <c r="C33" s="24">
        <f>C12-SUM(C24:C32)</f>
        <v>10135</v>
      </c>
      <c r="D33" s="24">
        <f>D12-SUM(D24:D32)</f>
        <v>10478</v>
      </c>
      <c r="E33" s="24">
        <f>E12-SUM(E24:E32)</f>
        <v>10821</v>
      </c>
      <c r="F33" s="24">
        <f>F12-SUM(F24:F32)</f>
        <v>11164</v>
      </c>
      <c r="G33" s="24">
        <f>G12-SUM(G24:G32)</f>
        <v>11507</v>
      </c>
      <c r="H33" s="23"/>
      <c r="O33" s="4">
        <f>B41-'Solo Barco'!B33</f>
        <v>-5000</v>
      </c>
      <c r="P33" s="4">
        <f>C41-'Solo Barco'!C33</f>
        <v>3719.5</v>
      </c>
      <c r="Q33" s="4">
        <f>D41-'Solo Barco'!D33</f>
        <v>3889.6000000000004</v>
      </c>
      <c r="R33" s="4">
        <f>E41-'Solo Barco'!E33</f>
        <v>4059.7000000000007</v>
      </c>
      <c r="S33" s="4">
        <f>F41-'Solo Barco'!F33</f>
        <v>4229.799999999999</v>
      </c>
      <c r="T33" s="4">
        <f>G41-'Solo Barco'!G33</f>
        <v>4399.9000000000015</v>
      </c>
    </row>
    <row r="34" spans="1:9" ht="12.75">
      <c r="A34" s="20" t="s">
        <v>34</v>
      </c>
      <c r="B34" s="23"/>
      <c r="C34" s="24">
        <f>C33*$I$34</f>
        <v>3040.5</v>
      </c>
      <c r="D34" s="24">
        <f>D33*$I$34</f>
        <v>3143.4</v>
      </c>
      <c r="E34" s="24">
        <f>E33*$I$34</f>
        <v>3246.2999999999997</v>
      </c>
      <c r="F34" s="24">
        <f>F33*$I$34</f>
        <v>3349.2</v>
      </c>
      <c r="G34" s="24">
        <f>G33*$I$34</f>
        <v>3452.1</v>
      </c>
      <c r="H34" s="23"/>
      <c r="I34" s="2">
        <v>0.3</v>
      </c>
    </row>
    <row r="35" spans="1:8" ht="12.75">
      <c r="A35" s="20" t="s">
        <v>35</v>
      </c>
      <c r="B35" s="23"/>
      <c r="C35" s="24">
        <f>C33-C34</f>
        <v>7094.5</v>
      </c>
      <c r="D35" s="24">
        <f>D33-D34</f>
        <v>7334.6</v>
      </c>
      <c r="E35" s="24">
        <f>E33-E34</f>
        <v>7574.700000000001</v>
      </c>
      <c r="F35" s="24">
        <f>F33-F34</f>
        <v>7814.8</v>
      </c>
      <c r="G35" s="24">
        <f>G33-G34</f>
        <v>8054.9</v>
      </c>
      <c r="H35" s="23"/>
    </row>
    <row r="36" spans="1:16" ht="12.75">
      <c r="A36" s="21" t="s">
        <v>130</v>
      </c>
      <c r="B36" s="23"/>
      <c r="C36" s="24">
        <f>C31</f>
        <v>3000</v>
      </c>
      <c r="D36" s="24">
        <f aca="true" t="shared" si="0" ref="D36:G37">D31</f>
        <v>3000</v>
      </c>
      <c r="E36" s="24">
        <f t="shared" si="0"/>
        <v>3000</v>
      </c>
      <c r="F36" s="24">
        <f t="shared" si="0"/>
        <v>3000</v>
      </c>
      <c r="G36" s="24">
        <f t="shared" si="0"/>
        <v>3000</v>
      </c>
      <c r="H36" s="23"/>
      <c r="N36" s="45" t="s">
        <v>195</v>
      </c>
      <c r="O36" s="45" t="s">
        <v>194</v>
      </c>
      <c r="P36" s="51">
        <f>NPV(32%,P33:T33)+O33</f>
        <v>4306.398120558033</v>
      </c>
    </row>
    <row r="37" spans="1:16" ht="12.75">
      <c r="A37" s="21" t="s">
        <v>131</v>
      </c>
      <c r="B37" s="23"/>
      <c r="C37" s="24">
        <f>C32</f>
        <v>3700</v>
      </c>
      <c r="D37" s="24">
        <f t="shared" si="0"/>
        <v>3700</v>
      </c>
      <c r="E37" s="24">
        <f t="shared" si="0"/>
        <v>3700</v>
      </c>
      <c r="F37" s="24">
        <f t="shared" si="0"/>
        <v>3700</v>
      </c>
      <c r="G37" s="24">
        <f t="shared" si="0"/>
        <v>3700</v>
      </c>
      <c r="H37" s="23"/>
      <c r="O37" s="45" t="s">
        <v>136</v>
      </c>
      <c r="P37" s="2">
        <f>IRR(O33:T33)</f>
        <v>0.7283115779115699</v>
      </c>
    </row>
    <row r="38" spans="1:9" ht="12.75">
      <c r="A38" s="21" t="s">
        <v>132</v>
      </c>
      <c r="B38" s="23"/>
      <c r="C38" s="24">
        <f>'Solo Barco'!C31</f>
        <v>2000</v>
      </c>
      <c r="D38" s="24">
        <f>'Solo Barco'!D31</f>
        <v>2000</v>
      </c>
      <c r="E38" s="24">
        <f>'Solo Barco'!E31</f>
        <v>2000</v>
      </c>
      <c r="F38" s="24">
        <f>'Solo Barco'!F31</f>
        <v>2000</v>
      </c>
      <c r="G38" s="24">
        <f>'Solo Barco'!G31</f>
        <v>6000</v>
      </c>
      <c r="H38" s="23"/>
      <c r="I38" s="45" t="s">
        <v>187</v>
      </c>
    </row>
    <row r="39" spans="1:8" ht="12.75">
      <c r="A39" s="21" t="s">
        <v>133</v>
      </c>
      <c r="B39" s="23"/>
      <c r="C39" s="24">
        <f>Datos!K30</f>
        <v>2700</v>
      </c>
      <c r="D39" s="24">
        <f>Datos!K31</f>
        <v>2700</v>
      </c>
      <c r="E39" s="24">
        <f>Datos!K32</f>
        <v>2700</v>
      </c>
      <c r="F39" s="24">
        <f>Datos!K33</f>
        <v>2700</v>
      </c>
      <c r="G39" s="24">
        <f>Datos!K34</f>
        <v>2700</v>
      </c>
      <c r="H39" s="23"/>
    </row>
    <row r="40" spans="1:8" ht="12.75">
      <c r="A40" s="19" t="s">
        <v>38</v>
      </c>
      <c r="B40" s="26">
        <f>SUM(B17:B22)</f>
        <v>-17852</v>
      </c>
      <c r="C40" s="26">
        <f>C36+C35+C37-C38-C39</f>
        <v>9094.5</v>
      </c>
      <c r="D40" s="26">
        <f>D36+D35+D37-D38-D39</f>
        <v>9334.6</v>
      </c>
      <c r="E40" s="26">
        <f>E36+E35+E37-E38-E39</f>
        <v>9574.7</v>
      </c>
      <c r="F40" s="26">
        <f>F36+F35+F37-F38-F39</f>
        <v>9814.8</v>
      </c>
      <c r="G40" s="26">
        <f>G36+G35+G37-G38-G39</f>
        <v>6054.9</v>
      </c>
      <c r="H40" s="26">
        <f>SUM(H20:H22)</f>
        <v>11852</v>
      </c>
    </row>
    <row r="41" spans="2:7" ht="12.75">
      <c r="B41" s="4">
        <f>B40</f>
        <v>-17852</v>
      </c>
      <c r="C41" s="4">
        <f>C40</f>
        <v>9094.5</v>
      </c>
      <c r="D41" s="4">
        <f>D40</f>
        <v>9334.6</v>
      </c>
      <c r="E41" s="4">
        <f>E40</f>
        <v>9574.7</v>
      </c>
      <c r="F41" s="4">
        <f>F40</f>
        <v>9814.8</v>
      </c>
      <c r="G41" s="4">
        <f>H40+G40</f>
        <v>17906.9</v>
      </c>
    </row>
    <row r="42" spans="1:2" ht="12.75">
      <c r="A42" s="19" t="s">
        <v>193</v>
      </c>
      <c r="B42" s="27">
        <f>NPV(0.32,C41:G41)+B41</f>
        <v>6259.304944286621</v>
      </c>
    </row>
    <row r="45" spans="1:2" ht="12.75">
      <c r="A45" s="19" t="s">
        <v>136</v>
      </c>
      <c r="B45" s="28">
        <f>IRR(B41:G41)</f>
        <v>0.4825311490321802</v>
      </c>
    </row>
    <row r="47" spans="11:17" ht="12.75">
      <c r="K47" t="s">
        <v>89</v>
      </c>
      <c r="L47">
        <v>0</v>
      </c>
      <c r="M47">
        <v>1</v>
      </c>
      <c r="N47">
        <v>2</v>
      </c>
      <c r="O47">
        <v>3</v>
      </c>
      <c r="P47">
        <v>4</v>
      </c>
      <c r="Q47">
        <v>5</v>
      </c>
    </row>
    <row r="48" spans="11:17" ht="12.75">
      <c r="K48" t="s">
        <v>197</v>
      </c>
      <c r="M48" s="4">
        <f>C12</f>
        <v>58750</v>
      </c>
      <c r="N48" s="4">
        <f>D12</f>
        <v>58750</v>
      </c>
      <c r="O48" s="4">
        <f>E12</f>
        <v>58750</v>
      </c>
      <c r="P48" s="4">
        <f>F12</f>
        <v>58750</v>
      </c>
      <c r="Q48" s="4">
        <f>G12</f>
        <v>58750</v>
      </c>
    </row>
    <row r="49" spans="11:17" ht="12.75">
      <c r="K49" t="s">
        <v>198</v>
      </c>
      <c r="M49" s="4">
        <f>M50+M51</f>
        <v>20000</v>
      </c>
      <c r="N49" s="4">
        <f>N50+N51</f>
        <v>20000</v>
      </c>
      <c r="O49" s="4">
        <f>O50+O51</f>
        <v>20000</v>
      </c>
      <c r="P49" s="4">
        <f>P50+P51</f>
        <v>20000</v>
      </c>
      <c r="Q49" s="4">
        <f>Q50+Q51</f>
        <v>20000</v>
      </c>
    </row>
    <row r="50" spans="11:17" ht="12.75">
      <c r="K50" t="s">
        <v>210</v>
      </c>
      <c r="M50" s="4">
        <f>C24</f>
        <v>20000</v>
      </c>
      <c r="N50" s="4">
        <f>D24</f>
        <v>20000</v>
      </c>
      <c r="O50" s="4">
        <f>E24</f>
        <v>20000</v>
      </c>
      <c r="P50" s="4">
        <f>F24</f>
        <v>20000</v>
      </c>
      <c r="Q50" s="4">
        <f>G24</f>
        <v>20000</v>
      </c>
    </row>
    <row r="51" spans="11:17" ht="12.75">
      <c r="K51" t="s">
        <v>212</v>
      </c>
      <c r="M51" s="4">
        <f>C27</f>
        <v>0</v>
      </c>
      <c r="N51" s="4">
        <f>D27</f>
        <v>0</v>
      </c>
      <c r="O51" s="4">
        <f>E27</f>
        <v>0</v>
      </c>
      <c r="P51" s="4">
        <f>F27</f>
        <v>0</v>
      </c>
      <c r="Q51" s="4">
        <f>G27</f>
        <v>0</v>
      </c>
    </row>
    <row r="52" spans="11:17" ht="12.75">
      <c r="K52" t="s">
        <v>199</v>
      </c>
      <c r="M52" s="4">
        <f>C25</f>
        <v>16000</v>
      </c>
      <c r="N52" s="4">
        <f>D25</f>
        <v>16000</v>
      </c>
      <c r="O52" s="4">
        <f>E25</f>
        <v>16000</v>
      </c>
      <c r="P52" s="4">
        <f>F25</f>
        <v>16000</v>
      </c>
      <c r="Q52" s="4">
        <f>G25</f>
        <v>16000</v>
      </c>
    </row>
    <row r="53" spans="11:17" ht="12.75">
      <c r="K53" t="s">
        <v>191</v>
      </c>
      <c r="M53" s="4">
        <f>C28</f>
        <v>3000</v>
      </c>
      <c r="N53" s="4">
        <f>D28</f>
        <v>3000</v>
      </c>
      <c r="O53" s="4">
        <f>E28</f>
        <v>3000</v>
      </c>
      <c r="P53" s="4">
        <f>F28</f>
        <v>3000</v>
      </c>
      <c r="Q53" s="4">
        <f>G28</f>
        <v>3000</v>
      </c>
    </row>
    <row r="54" spans="11:17" ht="12.75">
      <c r="K54" t="s">
        <v>225</v>
      </c>
      <c r="M54" s="4">
        <f>C26</f>
        <v>1000</v>
      </c>
      <c r="N54" s="4">
        <f>D26</f>
        <v>1000</v>
      </c>
      <c r="O54" s="4">
        <f>E26</f>
        <v>1000</v>
      </c>
      <c r="P54" s="4">
        <f>F26</f>
        <v>1000</v>
      </c>
      <c r="Q54" s="4">
        <f>G26</f>
        <v>1000</v>
      </c>
    </row>
    <row r="55" spans="11:17" ht="12.75">
      <c r="K55" t="s">
        <v>214</v>
      </c>
      <c r="M55" s="4">
        <f>C29</f>
        <v>700</v>
      </c>
      <c r="N55" s="4">
        <f>D29</f>
        <v>600</v>
      </c>
      <c r="O55" s="4">
        <f>E29</f>
        <v>500</v>
      </c>
      <c r="P55" s="4">
        <f>F29</f>
        <v>400</v>
      </c>
      <c r="Q55" s="4">
        <f>G29</f>
        <v>300</v>
      </c>
    </row>
    <row r="56" spans="11:17" ht="12.75">
      <c r="K56" t="s">
        <v>226</v>
      </c>
      <c r="M56" s="4">
        <f>C30</f>
        <v>1215</v>
      </c>
      <c r="N56" s="4">
        <f>D30</f>
        <v>972</v>
      </c>
      <c r="O56" s="4">
        <f>E30</f>
        <v>729</v>
      </c>
      <c r="P56" s="4">
        <f>F30</f>
        <v>486</v>
      </c>
      <c r="Q56" s="4">
        <f>G30</f>
        <v>243</v>
      </c>
    </row>
    <row r="57" spans="11:17" ht="12.75">
      <c r="K57" t="s">
        <v>203</v>
      </c>
      <c r="M57" s="4">
        <f>C31</f>
        <v>3000</v>
      </c>
      <c r="N57" s="4">
        <f>D31</f>
        <v>3000</v>
      </c>
      <c r="O57" s="4">
        <f>E31</f>
        <v>3000</v>
      </c>
      <c r="P57" s="4">
        <f>F31</f>
        <v>3000</v>
      </c>
      <c r="Q57" s="4">
        <f>G31</f>
        <v>3000</v>
      </c>
    </row>
    <row r="58" spans="11:17" ht="12.75">
      <c r="K58" t="s">
        <v>227</v>
      </c>
      <c r="M58" s="4">
        <f>C32</f>
        <v>3700</v>
      </c>
      <c r="N58" s="4">
        <f>D32</f>
        <v>3700</v>
      </c>
      <c r="O58" s="4">
        <f>E32</f>
        <v>3700</v>
      </c>
      <c r="P58" s="4">
        <f>F32</f>
        <v>3700</v>
      </c>
      <c r="Q58" s="4">
        <f>G32</f>
        <v>3700</v>
      </c>
    </row>
    <row r="59" spans="11:17" ht="12.75">
      <c r="K59" t="s">
        <v>200</v>
      </c>
      <c r="M59" s="4">
        <f>M48-M49-M52-M53-M54-M55-M56-M57-M58</f>
        <v>10135</v>
      </c>
      <c r="N59" s="4">
        <f>N48-N49-N52-N53-N54-N55-N56-N57-N58</f>
        <v>10478</v>
      </c>
      <c r="O59" s="4">
        <f>O48-O49-O52-O53-O54-O55-O56-O57-O58</f>
        <v>10821</v>
      </c>
      <c r="P59" s="4">
        <f>P48-P49-P52-P53-P54-P55-P56-P57-P58</f>
        <v>11164</v>
      </c>
      <c r="Q59" s="4">
        <f>Q48-Q49-Q52-Q53-Q54-Q55-Q56-Q57-Q58</f>
        <v>11507</v>
      </c>
    </row>
    <row r="60" spans="11:17" ht="12.75">
      <c r="K60" t="s">
        <v>201</v>
      </c>
      <c r="M60" s="4">
        <f>M59*0.3</f>
        <v>3040.5</v>
      </c>
      <c r="N60" s="4">
        <f>N59*0.3</f>
        <v>3143.4</v>
      </c>
      <c r="O60" s="4">
        <f>O59*0.3</f>
        <v>3246.2999999999997</v>
      </c>
      <c r="P60" s="4">
        <f>P59*0.3</f>
        <v>3349.2</v>
      </c>
      <c r="Q60" s="4">
        <f>Q59*0.3</f>
        <v>3452.1</v>
      </c>
    </row>
    <row r="61" spans="11:17" ht="12.75">
      <c r="K61" t="s">
        <v>202</v>
      </c>
      <c r="M61" s="4">
        <f>M59-M60</f>
        <v>7094.5</v>
      </c>
      <c r="N61" s="4">
        <f>N59-N60</f>
        <v>7334.6</v>
      </c>
      <c r="O61" s="4">
        <f>O59-O60</f>
        <v>7574.700000000001</v>
      </c>
      <c r="P61" s="4">
        <f>P59-P60</f>
        <v>7814.8</v>
      </c>
      <c r="Q61" s="4">
        <f>Q59-Q60</f>
        <v>8054.9</v>
      </c>
    </row>
    <row r="62" spans="11:17" ht="12.75">
      <c r="K62" t="s">
        <v>203</v>
      </c>
      <c r="M62" s="4">
        <f>M57</f>
        <v>3000</v>
      </c>
      <c r="N62" s="4">
        <f aca="true" t="shared" si="1" ref="N62:Q63">N57</f>
        <v>3000</v>
      </c>
      <c r="O62" s="4">
        <f t="shared" si="1"/>
        <v>3000</v>
      </c>
      <c r="P62" s="4">
        <f t="shared" si="1"/>
        <v>3000</v>
      </c>
      <c r="Q62" s="4">
        <f t="shared" si="1"/>
        <v>3000</v>
      </c>
    </row>
    <row r="63" spans="11:17" ht="12.75">
      <c r="K63" t="s">
        <v>227</v>
      </c>
      <c r="M63" s="4">
        <f>M58</f>
        <v>3700</v>
      </c>
      <c r="N63" s="4">
        <f t="shared" si="1"/>
        <v>3700</v>
      </c>
      <c r="O63" s="4">
        <f t="shared" si="1"/>
        <v>3700</v>
      </c>
      <c r="P63" s="4">
        <f t="shared" si="1"/>
        <v>3700</v>
      </c>
      <c r="Q63" s="4">
        <f t="shared" si="1"/>
        <v>3700</v>
      </c>
    </row>
    <row r="64" ht="12.75">
      <c r="K64" t="s">
        <v>218</v>
      </c>
    </row>
    <row r="65" spans="11:12" ht="12.75">
      <c r="K65" t="s">
        <v>219</v>
      </c>
      <c r="L65" s="4">
        <f>B17</f>
        <v>14000</v>
      </c>
    </row>
    <row r="66" spans="11:12" ht="12.75">
      <c r="K66" t="s">
        <v>229</v>
      </c>
      <c r="L66" s="4">
        <f>B18</f>
        <v>13500</v>
      </c>
    </row>
    <row r="67" spans="11:12" ht="12.75">
      <c r="K67" t="s">
        <v>228</v>
      </c>
      <c r="L67" s="4">
        <f>B22</f>
        <v>-18500</v>
      </c>
    </row>
    <row r="68" spans="11:12" ht="12.75">
      <c r="K68" t="s">
        <v>205</v>
      </c>
      <c r="L68" s="4">
        <f>B20</f>
        <v>-5852</v>
      </c>
    </row>
    <row r="69" spans="11:12" ht="12.75">
      <c r="K69" t="s">
        <v>221</v>
      </c>
      <c r="L69" s="4">
        <f>B21</f>
        <v>-21000</v>
      </c>
    </row>
    <row r="70" spans="11:17" ht="12.75">
      <c r="K70" t="s">
        <v>223</v>
      </c>
      <c r="L70" s="4"/>
      <c r="M70" s="4">
        <f>C38</f>
        <v>2000</v>
      </c>
      <c r="N70" s="4">
        <f>D38</f>
        <v>2000</v>
      </c>
      <c r="O70" s="4">
        <f>E38</f>
        <v>2000</v>
      </c>
      <c r="P70" s="4">
        <f>F38</f>
        <v>2000</v>
      </c>
      <c r="Q70" s="4">
        <f>G38</f>
        <v>6000</v>
      </c>
    </row>
    <row r="71" spans="11:17" ht="12.75">
      <c r="K71" t="s">
        <v>230</v>
      </c>
      <c r="L71" s="4"/>
      <c r="M71" s="4">
        <f>C39</f>
        <v>2700</v>
      </c>
      <c r="N71" s="4">
        <f>D39</f>
        <v>2700</v>
      </c>
      <c r="O71" s="4">
        <f>E39</f>
        <v>2700</v>
      </c>
      <c r="P71" s="4">
        <f>F39</f>
        <v>2700</v>
      </c>
      <c r="Q71" s="4">
        <f>G39</f>
        <v>2700</v>
      </c>
    </row>
    <row r="72" spans="11:17" ht="12.75">
      <c r="K72" t="s">
        <v>231</v>
      </c>
      <c r="Q72">
        <f>H21</f>
        <v>6000</v>
      </c>
    </row>
    <row r="73" spans="11:17" ht="12.75">
      <c r="K73" t="s">
        <v>232</v>
      </c>
      <c r="Q73">
        <f>H20</f>
        <v>5852</v>
      </c>
    </row>
    <row r="74" spans="11:17" ht="12.75">
      <c r="K74" t="s">
        <v>208</v>
      </c>
      <c r="L74" s="4">
        <f>SUM(L64:L69)</f>
        <v>-17852</v>
      </c>
      <c r="M74" s="4">
        <f>M61+M62+M63-M70-M71</f>
        <v>9094.5</v>
      </c>
      <c r="N74" s="4">
        <f>N61+N62+N63-N70-N71</f>
        <v>9334.6</v>
      </c>
      <c r="O74" s="4">
        <f>O61+O62+O63-O70-O71</f>
        <v>9574.7</v>
      </c>
      <c r="P74" s="4">
        <f>P61+P62+P63-P70-P71</f>
        <v>9814.8</v>
      </c>
      <c r="Q74" s="4">
        <f>Q61+Q62+Q63-Q70-Q71+Q72+Q73</f>
        <v>17906.9</v>
      </c>
    </row>
  </sheetData>
  <sheetProtection/>
  <printOptions/>
  <pageMargins left="0.75" right="0.75" top="1" bottom="1" header="0" footer="0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73"/>
  <sheetViews>
    <sheetView zoomScale="85" zoomScaleNormal="85" zoomScalePageLayoutView="0" workbookViewId="0" topLeftCell="A1">
      <selection activeCell="C13" sqref="C13"/>
    </sheetView>
  </sheetViews>
  <sheetFormatPr defaultColWidth="11.421875" defaultRowHeight="12.75"/>
  <cols>
    <col min="1" max="1" width="22.7109375" style="0" bestFit="1" customWidth="1"/>
    <col min="3" max="3" width="13.7109375" style="0" bestFit="1" customWidth="1"/>
    <col min="11" max="11" width="23.7109375" style="0" customWidth="1"/>
    <col min="13" max="13" width="17.421875" style="0" bestFit="1" customWidth="1"/>
  </cols>
  <sheetData>
    <row r="2" ht="12.75">
      <c r="B2" s="1" t="s">
        <v>93</v>
      </c>
    </row>
    <row r="4" ht="12.75">
      <c r="A4" t="s">
        <v>146</v>
      </c>
    </row>
    <row r="5" ht="12.75">
      <c r="A5" t="s">
        <v>148</v>
      </c>
    </row>
    <row r="6" ht="12.75">
      <c r="A6" t="s">
        <v>147</v>
      </c>
    </row>
    <row r="9" ht="12.75">
      <c r="D9" s="1" t="s">
        <v>22</v>
      </c>
    </row>
    <row r="10" spans="11:12" ht="12.75">
      <c r="K10" s="45" t="s">
        <v>189</v>
      </c>
      <c r="L10">
        <v>1.7</v>
      </c>
    </row>
    <row r="11" spans="1:8" ht="12.75">
      <c r="A11" s="19" t="s">
        <v>89</v>
      </c>
      <c r="B11" s="30"/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 t="s">
        <v>46</v>
      </c>
    </row>
    <row r="12" spans="1:8" ht="12.75">
      <c r="A12" s="19" t="s">
        <v>24</v>
      </c>
      <c r="B12" s="23"/>
      <c r="C12" s="24">
        <f>C13*C14</f>
        <v>79900</v>
      </c>
      <c r="D12" s="24">
        <f>D13*D14</f>
        <v>79900</v>
      </c>
      <c r="E12" s="24">
        <f>E13*E14</f>
        <v>79900</v>
      </c>
      <c r="F12" s="24">
        <f>F13*F14</f>
        <v>79900</v>
      </c>
      <c r="G12" s="24">
        <f>G13*G14</f>
        <v>79900</v>
      </c>
      <c r="H12" s="23"/>
    </row>
    <row r="13" spans="1:8" ht="12.75">
      <c r="A13" s="20" t="s">
        <v>23</v>
      </c>
      <c r="B13" s="23"/>
      <c r="C13" s="24">
        <f>Datos!$C$58</f>
        <v>47000</v>
      </c>
      <c r="D13" s="24">
        <f>Datos!$C$58</f>
        <v>47000</v>
      </c>
      <c r="E13" s="24">
        <f>Datos!$C$58</f>
        <v>47000</v>
      </c>
      <c r="F13" s="24">
        <f>Datos!$C$58</f>
        <v>47000</v>
      </c>
      <c r="G13" s="24">
        <f>Datos!$C$58</f>
        <v>47000</v>
      </c>
      <c r="H13" s="23"/>
    </row>
    <row r="14" spans="1:8" ht="12.75">
      <c r="A14" s="20" t="s">
        <v>11</v>
      </c>
      <c r="B14" s="23"/>
      <c r="C14" s="33">
        <f>$L$10</f>
        <v>1.7</v>
      </c>
      <c r="D14" s="33">
        <f>$L$10</f>
        <v>1.7</v>
      </c>
      <c r="E14" s="33">
        <f>$L$10</f>
        <v>1.7</v>
      </c>
      <c r="F14" s="33">
        <f>$L$10</f>
        <v>1.7</v>
      </c>
      <c r="G14" s="33">
        <f>$L$10</f>
        <v>1.7</v>
      </c>
      <c r="H14" s="23"/>
    </row>
    <row r="15" spans="1:8" ht="12.75">
      <c r="A15" s="20"/>
      <c r="B15" s="23"/>
      <c r="C15" s="23"/>
      <c r="D15" s="23"/>
      <c r="E15" s="23"/>
      <c r="F15" s="23"/>
      <c r="G15" s="23"/>
      <c r="H15" s="23"/>
    </row>
    <row r="16" spans="1:8" ht="12.75">
      <c r="A16" s="19" t="s">
        <v>25</v>
      </c>
      <c r="B16" s="23"/>
      <c r="C16" s="24"/>
      <c r="D16" s="24"/>
      <c r="E16" s="24"/>
      <c r="F16" s="24"/>
      <c r="G16" s="24"/>
      <c r="H16" s="23"/>
    </row>
    <row r="17" spans="1:8" ht="12.75">
      <c r="A17" s="20" t="s">
        <v>26</v>
      </c>
      <c r="B17" s="24">
        <f>'Fabrica de hielo'!B17</f>
        <v>14000</v>
      </c>
      <c r="C17" s="24"/>
      <c r="D17" s="24"/>
      <c r="E17" s="24"/>
      <c r="F17" s="24"/>
      <c r="G17" s="24"/>
      <c r="H17" s="23"/>
    </row>
    <row r="18" spans="1:8" ht="12.75">
      <c r="A18" s="20" t="s">
        <v>55</v>
      </c>
      <c r="B18" s="24">
        <f>Datos!C49</f>
        <v>28000</v>
      </c>
      <c r="C18" s="24"/>
      <c r="D18" s="24"/>
      <c r="E18" s="24"/>
      <c r="F18" s="24"/>
      <c r="G18" s="24"/>
      <c r="H18" s="25">
        <v>1000</v>
      </c>
    </row>
    <row r="19" spans="1:8" ht="12.75">
      <c r="A19" s="19" t="s">
        <v>48</v>
      </c>
      <c r="B19" s="23"/>
      <c r="C19" s="24"/>
      <c r="D19" s="24"/>
      <c r="E19" s="24"/>
      <c r="F19" s="24"/>
      <c r="G19" s="24"/>
      <c r="H19" s="23"/>
    </row>
    <row r="20" spans="1:8" ht="12.75">
      <c r="A20" s="20" t="s">
        <v>27</v>
      </c>
      <c r="B20" s="23">
        <f>'Fabrica de hielo'!B20</f>
        <v>-5852</v>
      </c>
      <c r="C20" s="24"/>
      <c r="D20" s="24"/>
      <c r="E20" s="24"/>
      <c r="F20" s="24"/>
      <c r="G20" s="24"/>
      <c r="H20" s="23">
        <f>-B20</f>
        <v>5852</v>
      </c>
    </row>
    <row r="21" spans="1:8" ht="12.75">
      <c r="A21" s="20" t="s">
        <v>49</v>
      </c>
      <c r="B21" s="23">
        <f>'Fabrica de hielo'!B21</f>
        <v>-21000</v>
      </c>
      <c r="C21" s="24"/>
      <c r="D21" s="24"/>
      <c r="E21" s="24"/>
      <c r="F21" s="24"/>
      <c r="G21" s="24"/>
      <c r="H21" s="23">
        <f>-B21-(G32*5)</f>
        <v>6000</v>
      </c>
    </row>
    <row r="22" spans="1:8" ht="12.75">
      <c r="A22" s="20" t="s">
        <v>139</v>
      </c>
      <c r="B22" s="31">
        <f>-Datos!C44</f>
        <v>-35000</v>
      </c>
      <c r="C22" s="24"/>
      <c r="D22" s="24"/>
      <c r="E22" s="24"/>
      <c r="F22" s="24"/>
      <c r="G22" s="24"/>
      <c r="H22" s="23">
        <v>0</v>
      </c>
    </row>
    <row r="23" spans="1:8" ht="12.75">
      <c r="A23" s="19" t="s">
        <v>29</v>
      </c>
      <c r="B23" s="23"/>
      <c r="C23" s="24"/>
      <c r="D23" s="24"/>
      <c r="E23" s="24"/>
      <c r="F23" s="24"/>
      <c r="G23" s="24"/>
      <c r="H23" s="23"/>
    </row>
    <row r="24" spans="1:8" ht="12.75">
      <c r="A24" s="20" t="s">
        <v>127</v>
      </c>
      <c r="B24" s="23"/>
      <c r="C24" s="24">
        <f>Hoja1!$B$9</f>
        <v>20000</v>
      </c>
      <c r="D24" s="24">
        <f>Hoja1!$B$9</f>
        <v>20000</v>
      </c>
      <c r="E24" s="24">
        <f>Hoja1!$B$9</f>
        <v>20000</v>
      </c>
      <c r="F24" s="24">
        <f>Hoja1!$B$9</f>
        <v>20000</v>
      </c>
      <c r="G24" s="24">
        <f>Hoja1!$B$9</f>
        <v>20000</v>
      </c>
      <c r="H24" s="23"/>
    </row>
    <row r="25" spans="1:8" ht="12.75">
      <c r="A25" s="20" t="s">
        <v>128</v>
      </c>
      <c r="B25" s="23"/>
      <c r="C25" s="24">
        <f>Hoja1!$B$11</f>
        <v>16000</v>
      </c>
      <c r="D25" s="24">
        <f>Hoja1!$B$11</f>
        <v>16000</v>
      </c>
      <c r="E25" s="24">
        <f>Hoja1!$B$11</f>
        <v>16000</v>
      </c>
      <c r="F25" s="24">
        <f>Hoja1!$B$11</f>
        <v>16000</v>
      </c>
      <c r="G25" s="24">
        <f>Hoja1!$B$11</f>
        <v>16000</v>
      </c>
      <c r="H25" s="23"/>
    </row>
    <row r="26" spans="1:8" ht="12.75">
      <c r="A26" s="20" t="s">
        <v>30</v>
      </c>
      <c r="B26" s="23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3"/>
    </row>
    <row r="27" spans="1:9" ht="12.75">
      <c r="A27" s="20" t="s">
        <v>56</v>
      </c>
      <c r="B27" s="23"/>
      <c r="C27" s="24">
        <f>Datos!$C$47</f>
        <v>8000</v>
      </c>
      <c r="D27" s="24">
        <f>Datos!$C$47</f>
        <v>8000</v>
      </c>
      <c r="E27" s="24">
        <f>Datos!$C$47</f>
        <v>8000</v>
      </c>
      <c r="F27" s="24">
        <f>Datos!$C$47</f>
        <v>8000</v>
      </c>
      <c r="G27" s="24">
        <f>Datos!$C$47</f>
        <v>8000</v>
      </c>
      <c r="H27" s="23"/>
      <c r="I27" s="45" t="s">
        <v>190</v>
      </c>
    </row>
    <row r="28" spans="1:8" ht="12.75">
      <c r="A28" s="20" t="s">
        <v>191</v>
      </c>
      <c r="B28" s="23"/>
      <c r="C28" s="24">
        <f>Datos!$C$53</f>
        <v>1360</v>
      </c>
      <c r="D28" s="24">
        <f>Datos!$C$53</f>
        <v>1360</v>
      </c>
      <c r="E28" s="24">
        <f>Datos!$C$53</f>
        <v>1360</v>
      </c>
      <c r="F28" s="24">
        <f>Datos!$C$53</f>
        <v>1360</v>
      </c>
      <c r="G28" s="24">
        <f>Datos!$C$53</f>
        <v>1360</v>
      </c>
      <c r="H28" s="23"/>
    </row>
    <row r="29" spans="1:8" ht="12.75">
      <c r="A29" s="20" t="s">
        <v>57</v>
      </c>
      <c r="B29" s="23"/>
      <c r="C29" s="24">
        <f>Datos!$C$48</f>
        <v>2000</v>
      </c>
      <c r="D29" s="24">
        <f>Datos!$C$48</f>
        <v>2000</v>
      </c>
      <c r="E29" s="24">
        <f>Datos!$C$48</f>
        <v>2000</v>
      </c>
      <c r="F29" s="24">
        <f>Datos!$C$48</f>
        <v>2000</v>
      </c>
      <c r="G29" s="24">
        <f>Datos!$C$48</f>
        <v>2000</v>
      </c>
      <c r="H29" s="23"/>
    </row>
    <row r="30" spans="1:8" ht="12.75">
      <c r="A30" s="20" t="s">
        <v>53</v>
      </c>
      <c r="B30" s="23"/>
      <c r="C30" s="24">
        <f>'Fabrica de hielo'!C29</f>
        <v>700</v>
      </c>
      <c r="D30" s="24">
        <f>'Fabrica de hielo'!D29</f>
        <v>600</v>
      </c>
      <c r="E30" s="24">
        <f>'Fabrica de hielo'!E29</f>
        <v>500</v>
      </c>
      <c r="F30" s="24">
        <f>'Fabrica de hielo'!F29</f>
        <v>400</v>
      </c>
      <c r="G30" s="24">
        <f>'Fabrica de hielo'!G29</f>
        <v>300</v>
      </c>
      <c r="H30" s="23"/>
    </row>
    <row r="31" spans="1:8" ht="12.75">
      <c r="A31" s="20" t="s">
        <v>58</v>
      </c>
      <c r="B31" s="23"/>
      <c r="C31" s="24">
        <f>Datos!J47</f>
        <v>3360</v>
      </c>
      <c r="D31" s="24">
        <f>Datos!J48</f>
        <v>2364.2674253200566</v>
      </c>
      <c r="E31" s="24">
        <f>Datos!J49</f>
        <v>1249.0469416785206</v>
      </c>
      <c r="F31" s="24">
        <v>0</v>
      </c>
      <c r="G31" s="24">
        <v>0</v>
      </c>
      <c r="H31" s="23"/>
    </row>
    <row r="32" spans="1:8" ht="12.75">
      <c r="A32" s="20" t="s">
        <v>32</v>
      </c>
      <c r="B32" s="31"/>
      <c r="C32" s="32">
        <v>3000</v>
      </c>
      <c r="D32" s="32">
        <v>3000</v>
      </c>
      <c r="E32" s="32">
        <v>3000</v>
      </c>
      <c r="F32" s="32">
        <v>3000</v>
      </c>
      <c r="G32" s="32">
        <v>3000</v>
      </c>
      <c r="H32" s="31"/>
    </row>
    <row r="33" spans="1:8" ht="12.75">
      <c r="A33" s="20" t="s">
        <v>59</v>
      </c>
      <c r="B33" s="31"/>
      <c r="C33" s="32">
        <f>Datos!$C$52</f>
        <v>6800</v>
      </c>
      <c r="D33" s="32">
        <f>Datos!$C$52</f>
        <v>6800</v>
      </c>
      <c r="E33" s="32">
        <f>Datos!$C$52</f>
        <v>6800</v>
      </c>
      <c r="F33" s="32">
        <f>Datos!$C$52</f>
        <v>6800</v>
      </c>
      <c r="G33" s="32">
        <f>Datos!$C$52</f>
        <v>6800</v>
      </c>
      <c r="H33" s="31"/>
    </row>
    <row r="34" spans="1:8" ht="12.75">
      <c r="A34" s="20" t="s">
        <v>33</v>
      </c>
      <c r="B34" s="23"/>
      <c r="C34" s="24">
        <f>C12-SUM(C24:C33)</f>
        <v>18680</v>
      </c>
      <c r="D34" s="24">
        <f>D12-SUM(D24:D33)</f>
        <v>19775.732574679947</v>
      </c>
      <c r="E34" s="24">
        <f>E12-SUM(E24:E33)</f>
        <v>20990.95305832148</v>
      </c>
      <c r="F34" s="24">
        <f>F12-SUM(F24:F33)</f>
        <v>22340</v>
      </c>
      <c r="G34" s="24">
        <f>G12-SUM(G24:G33)</f>
        <v>22440</v>
      </c>
      <c r="H34" s="23"/>
    </row>
    <row r="35" spans="1:8" ht="12.75">
      <c r="A35" s="20" t="s">
        <v>34</v>
      </c>
      <c r="B35" s="23"/>
      <c r="C35" s="24">
        <f>C34*0.3</f>
        <v>5604</v>
      </c>
      <c r="D35" s="24">
        <f>D34*0.3</f>
        <v>5932.719772403984</v>
      </c>
      <c r="E35" s="24">
        <f>E34*0.3</f>
        <v>6297.285917496444</v>
      </c>
      <c r="F35" s="24">
        <f>F34*0.3</f>
        <v>6702</v>
      </c>
      <c r="G35" s="24">
        <f>G34*0.3</f>
        <v>6732</v>
      </c>
      <c r="H35" s="23"/>
    </row>
    <row r="36" spans="1:8" ht="12.75">
      <c r="A36" s="20" t="s">
        <v>35</v>
      </c>
      <c r="B36" s="23"/>
      <c r="C36" s="24">
        <f>C34-C35</f>
        <v>13076</v>
      </c>
      <c r="D36" s="24">
        <f>D34-D35</f>
        <v>13843.012802275964</v>
      </c>
      <c r="E36" s="24">
        <f>E34-E35</f>
        <v>14693.667140825037</v>
      </c>
      <c r="F36" s="24">
        <f>F34-F35</f>
        <v>15638</v>
      </c>
      <c r="G36" s="24">
        <f>G34-G35</f>
        <v>15708</v>
      </c>
      <c r="H36" s="23"/>
    </row>
    <row r="37" spans="1:18" ht="12.75">
      <c r="A37" s="21" t="s">
        <v>130</v>
      </c>
      <c r="B37" s="23"/>
      <c r="C37" s="24">
        <f aca="true" t="shared" si="0" ref="C37:G38">C32</f>
        <v>3000</v>
      </c>
      <c r="D37" s="24">
        <f t="shared" si="0"/>
        <v>3000</v>
      </c>
      <c r="E37" s="24">
        <f t="shared" si="0"/>
        <v>3000</v>
      </c>
      <c r="F37" s="24">
        <f t="shared" si="0"/>
        <v>3000</v>
      </c>
      <c r="G37" s="24">
        <f t="shared" si="0"/>
        <v>3000</v>
      </c>
      <c r="H37" s="23"/>
      <c r="L37" s="4">
        <f>B42-'Fabrica de hielo'!B41</f>
        <v>-2000</v>
      </c>
      <c r="M37" s="4">
        <f>C42-'Fabrica de hielo'!C41</f>
        <v>3483.728544333808</v>
      </c>
      <c r="N37" s="4">
        <f>D42-'Fabrica de hielo'!D41</f>
        <v>3014.9087719298277</v>
      </c>
      <c r="O37" s="4">
        <f>E42-'Fabrica de hielo'!E41</f>
        <v>2510.242626837364</v>
      </c>
      <c r="P37" s="4">
        <f>F42-'Fabrica de hielo'!F41</f>
        <v>13623.2</v>
      </c>
      <c r="Q37" s="4">
        <f>G42-'Fabrica de hielo'!G41</f>
        <v>14453.099999999999</v>
      </c>
      <c r="R37" s="4"/>
    </row>
    <row r="38" spans="1:8" ht="12.75">
      <c r="A38" s="21" t="s">
        <v>134</v>
      </c>
      <c r="B38" s="23"/>
      <c r="C38" s="24">
        <f>C33</f>
        <v>6800</v>
      </c>
      <c r="D38" s="24">
        <f t="shared" si="0"/>
        <v>6800</v>
      </c>
      <c r="E38" s="24">
        <f t="shared" si="0"/>
        <v>6800</v>
      </c>
      <c r="F38" s="24">
        <f t="shared" si="0"/>
        <v>6800</v>
      </c>
      <c r="G38" s="24">
        <f t="shared" si="0"/>
        <v>6800</v>
      </c>
      <c r="H38" s="23"/>
    </row>
    <row r="39" spans="1:13" ht="12.75">
      <c r="A39" s="21" t="s">
        <v>132</v>
      </c>
      <c r="B39" s="23"/>
      <c r="C39" s="24">
        <f>'Fabrica de hielo'!C38</f>
        <v>2000</v>
      </c>
      <c r="D39" s="24">
        <f>'Fabrica de hielo'!D38</f>
        <v>2000</v>
      </c>
      <c r="E39" s="24">
        <f>'Fabrica de hielo'!E38</f>
        <v>2000</v>
      </c>
      <c r="F39" s="24">
        <f>'Fabrica de hielo'!F38</f>
        <v>2000</v>
      </c>
      <c r="G39" s="24">
        <f>'Fabrica de hielo'!G38</f>
        <v>6000</v>
      </c>
      <c r="H39" s="23"/>
      <c r="L39" s="45" t="s">
        <v>194</v>
      </c>
      <c r="M39" s="51">
        <f>NPV(32%,M37:Q37)+L37</f>
        <v>11554.760282998262</v>
      </c>
    </row>
    <row r="40" spans="1:13" ht="12.75">
      <c r="A40" s="21" t="s">
        <v>135</v>
      </c>
      <c r="B40" s="23"/>
      <c r="C40" s="24">
        <f>Datos!K47</f>
        <v>8297.771455666192</v>
      </c>
      <c r="D40" s="24">
        <f>Datos!K48</f>
        <v>9293.504030346136</v>
      </c>
      <c r="E40" s="24">
        <f>Datos!K49</f>
        <v>10408.724513987672</v>
      </c>
      <c r="F40" s="24">
        <v>0</v>
      </c>
      <c r="G40" s="24">
        <v>0</v>
      </c>
      <c r="H40" s="23"/>
      <c r="L40" s="45" t="s">
        <v>136</v>
      </c>
      <c r="M40" s="2">
        <f>IRR(L37:Q37)</f>
        <v>1.8381479741047522</v>
      </c>
    </row>
    <row r="41" spans="1:8" ht="12.75">
      <c r="A41" s="19" t="s">
        <v>38</v>
      </c>
      <c r="B41" s="26">
        <f>SUM(B17:B22)</f>
        <v>-19852</v>
      </c>
      <c r="C41" s="26">
        <f>C37+C36+C38-C39-C40</f>
        <v>12578.228544333808</v>
      </c>
      <c r="D41" s="26">
        <f>D37+D36+D38-D39-D40</f>
        <v>12349.508771929828</v>
      </c>
      <c r="E41" s="26">
        <f>E37+E36+E38-E39-E40</f>
        <v>12084.942626837365</v>
      </c>
      <c r="F41" s="26">
        <f>F37+F36+F38-F39-F40</f>
        <v>23438</v>
      </c>
      <c r="G41" s="26">
        <f>G37+G36+G38-G39-G40</f>
        <v>19508</v>
      </c>
      <c r="H41" s="26">
        <f>SUM(H18:H22)</f>
        <v>12852</v>
      </c>
    </row>
    <row r="42" spans="2:7" ht="12.75">
      <c r="B42" s="4">
        <f>B41</f>
        <v>-19852</v>
      </c>
      <c r="C42" s="4">
        <f>C41</f>
        <v>12578.228544333808</v>
      </c>
      <c r="D42" s="4">
        <f>D41</f>
        <v>12349.508771929828</v>
      </c>
      <c r="E42" s="4">
        <f>E41</f>
        <v>12084.942626837365</v>
      </c>
      <c r="F42" s="4">
        <f>F41</f>
        <v>23438</v>
      </c>
      <c r="G42" s="4">
        <f>H41+G41</f>
        <v>32360</v>
      </c>
    </row>
    <row r="43" spans="1:2" ht="12.75">
      <c r="A43" s="19" t="s">
        <v>193</v>
      </c>
      <c r="B43" s="27">
        <f>NPV(0.32,C42:G42)+B42</f>
        <v>17814.065227284875</v>
      </c>
    </row>
    <row r="45" ht="12.75">
      <c r="C45" s="13"/>
    </row>
    <row r="46" spans="1:11" ht="12.75">
      <c r="A46" s="19" t="s">
        <v>136</v>
      </c>
      <c r="B46" s="48">
        <f>IRR(B42:G42)</f>
        <v>0.6771800067727842</v>
      </c>
      <c r="K46" t="s">
        <v>196</v>
      </c>
    </row>
    <row r="47" spans="11:17" ht="12.75">
      <c r="K47" t="s">
        <v>89</v>
      </c>
      <c r="L47">
        <v>0</v>
      </c>
      <c r="M47">
        <v>1</v>
      </c>
      <c r="N47">
        <v>2</v>
      </c>
      <c r="O47">
        <v>3</v>
      </c>
      <c r="P47">
        <v>4</v>
      </c>
      <c r="Q47">
        <v>5</v>
      </c>
    </row>
    <row r="48" spans="11:17" ht="12.75">
      <c r="K48" t="s">
        <v>197</v>
      </c>
      <c r="M48" s="4">
        <f>C12</f>
        <v>79900</v>
      </c>
      <c r="N48" s="4">
        <f>D12</f>
        <v>79900</v>
      </c>
      <c r="O48" s="4">
        <f>E12</f>
        <v>79900</v>
      </c>
      <c r="P48" s="4">
        <f>F12</f>
        <v>79900</v>
      </c>
      <c r="Q48" s="4">
        <f>G12</f>
        <v>79900</v>
      </c>
    </row>
    <row r="49" spans="11:17" ht="12.75">
      <c r="K49" t="s">
        <v>198</v>
      </c>
      <c r="M49" s="4">
        <f>M50+M51+M52</f>
        <v>28000</v>
      </c>
      <c r="N49" s="4">
        <f>N50+N51+N52</f>
        <v>28000</v>
      </c>
      <c r="O49" s="4">
        <f>O50+O51+O52</f>
        <v>28000</v>
      </c>
      <c r="P49" s="4">
        <f>P50+P51+P52</f>
        <v>28000</v>
      </c>
      <c r="Q49" s="4">
        <f>Q50+Q51+Q52</f>
        <v>28000</v>
      </c>
    </row>
    <row r="50" spans="11:17" ht="12.75">
      <c r="K50" t="s">
        <v>210</v>
      </c>
      <c r="M50" s="4">
        <f>C24</f>
        <v>20000</v>
      </c>
      <c r="N50" s="4">
        <f>D24</f>
        <v>20000</v>
      </c>
      <c r="O50" s="4">
        <f>E24</f>
        <v>20000</v>
      </c>
      <c r="P50" s="4">
        <f>F24</f>
        <v>20000</v>
      </c>
      <c r="Q50" s="4">
        <f>G24</f>
        <v>20000</v>
      </c>
    </row>
    <row r="51" spans="11:17" ht="12.75">
      <c r="K51" t="s">
        <v>212</v>
      </c>
      <c r="M51" s="4">
        <f>C26</f>
        <v>0</v>
      </c>
      <c r="N51" s="4">
        <f>D26</f>
        <v>0</v>
      </c>
      <c r="O51" s="4">
        <f>E26</f>
        <v>0</v>
      </c>
      <c r="P51" s="4">
        <f>F26</f>
        <v>0</v>
      </c>
      <c r="Q51" s="4">
        <f>G26</f>
        <v>0</v>
      </c>
    </row>
    <row r="52" spans="11:17" ht="12.75">
      <c r="K52" t="s">
        <v>213</v>
      </c>
      <c r="M52" s="4">
        <f>C27</f>
        <v>8000</v>
      </c>
      <c r="N52" s="4">
        <f>D27</f>
        <v>8000</v>
      </c>
      <c r="O52" s="4">
        <f>E27</f>
        <v>8000</v>
      </c>
      <c r="P52" s="4">
        <f>F27</f>
        <v>8000</v>
      </c>
      <c r="Q52" s="4">
        <f>G27</f>
        <v>8000</v>
      </c>
    </row>
    <row r="53" spans="11:17" ht="12.75">
      <c r="K53" t="s">
        <v>199</v>
      </c>
      <c r="M53" s="4">
        <f>C25</f>
        <v>16000</v>
      </c>
      <c r="N53" s="4">
        <f>D25</f>
        <v>16000</v>
      </c>
      <c r="O53" s="4">
        <f>E25</f>
        <v>16000</v>
      </c>
      <c r="P53" s="4">
        <f>F25</f>
        <v>16000</v>
      </c>
      <c r="Q53" s="4">
        <f>G25</f>
        <v>16000</v>
      </c>
    </row>
    <row r="54" spans="11:17" ht="12.75">
      <c r="K54" t="s">
        <v>191</v>
      </c>
      <c r="M54" s="4">
        <f>C28</f>
        <v>1360</v>
      </c>
      <c r="N54" s="4">
        <f>D28</f>
        <v>1360</v>
      </c>
      <c r="O54" s="4">
        <f>E28</f>
        <v>1360</v>
      </c>
      <c r="P54" s="4">
        <f>F28</f>
        <v>1360</v>
      </c>
      <c r="Q54" s="4">
        <f>G28</f>
        <v>1360</v>
      </c>
    </row>
    <row r="55" spans="11:17" ht="12.75">
      <c r="K55" t="s">
        <v>217</v>
      </c>
      <c r="M55" s="4">
        <f>C29</f>
        <v>2000</v>
      </c>
      <c r="N55" s="4">
        <f>D29</f>
        <v>2000</v>
      </c>
      <c r="O55" s="4">
        <f>E29</f>
        <v>2000</v>
      </c>
      <c r="P55" s="4">
        <f>F29</f>
        <v>2000</v>
      </c>
      <c r="Q55" s="4">
        <f>G29</f>
        <v>2000</v>
      </c>
    </row>
    <row r="56" spans="11:17" ht="12.75">
      <c r="K56" t="s">
        <v>214</v>
      </c>
      <c r="M56" s="4">
        <f>C30</f>
        <v>700</v>
      </c>
      <c r="N56" s="4">
        <f>D30</f>
        <v>600</v>
      </c>
      <c r="O56" s="4">
        <f>E30</f>
        <v>500</v>
      </c>
      <c r="P56" s="4">
        <f>F30</f>
        <v>400</v>
      </c>
      <c r="Q56" s="4">
        <f>G30</f>
        <v>300</v>
      </c>
    </row>
    <row r="57" spans="11:17" ht="12.75">
      <c r="K57" t="s">
        <v>215</v>
      </c>
      <c r="M57" s="4">
        <f>C31</f>
        <v>3360</v>
      </c>
      <c r="N57" s="4">
        <f>D31</f>
        <v>2364.2674253200566</v>
      </c>
      <c r="O57" s="4">
        <f>E31</f>
        <v>1249.0469416785206</v>
      </c>
      <c r="P57" s="4">
        <f>F31</f>
        <v>0</v>
      </c>
      <c r="Q57" s="4">
        <f>G31</f>
        <v>0</v>
      </c>
    </row>
    <row r="58" spans="11:17" ht="12.75">
      <c r="K58" t="s">
        <v>203</v>
      </c>
      <c r="M58" s="4">
        <f>C32</f>
        <v>3000</v>
      </c>
      <c r="N58" s="4">
        <f>D32</f>
        <v>3000</v>
      </c>
      <c r="O58" s="4">
        <f>E32</f>
        <v>3000</v>
      </c>
      <c r="P58" s="4">
        <f>F32</f>
        <v>3000</v>
      </c>
      <c r="Q58" s="4">
        <f>G32</f>
        <v>3000</v>
      </c>
    </row>
    <row r="59" spans="11:17" ht="12.75">
      <c r="K59" t="s">
        <v>216</v>
      </c>
      <c r="M59" s="4">
        <f>C33</f>
        <v>6800</v>
      </c>
      <c r="N59" s="4">
        <f>D33</f>
        <v>6800</v>
      </c>
      <c r="O59" s="4">
        <f>E33</f>
        <v>6800</v>
      </c>
      <c r="P59" s="4">
        <f>F33</f>
        <v>6800</v>
      </c>
      <c r="Q59" s="4">
        <f>G33</f>
        <v>6800</v>
      </c>
    </row>
    <row r="60" spans="11:17" ht="12.75">
      <c r="K60" t="s">
        <v>200</v>
      </c>
      <c r="M60" s="4">
        <f>M48-M49-M53-M54-M55-M56-M57-M58-M59</f>
        <v>18680</v>
      </c>
      <c r="N60" s="4">
        <f>N48-N49-N53-N54-N55-N56-N57-N58-N59</f>
        <v>19775.732574679943</v>
      </c>
      <c r="O60" s="4">
        <f>O48-O49-O53-O54-O55-O56-O57-O58-O59</f>
        <v>20990.95305832148</v>
      </c>
      <c r="P60" s="4">
        <f>P48-P49-P53-P54-P55-P56-P57-P58-P59</f>
        <v>22340</v>
      </c>
      <c r="Q60" s="4">
        <f>Q48-Q49-Q53-Q54-Q55-Q56-Q57-Q58-Q59</f>
        <v>22440</v>
      </c>
    </row>
    <row r="61" spans="11:17" ht="12.75">
      <c r="K61" t="s">
        <v>201</v>
      </c>
      <c r="M61" s="4">
        <f>M60*0.3</f>
        <v>5604</v>
      </c>
      <c r="N61" s="4">
        <f>N60*0.3</f>
        <v>5932.7197724039825</v>
      </c>
      <c r="O61" s="4">
        <f>O60*0.3</f>
        <v>6297.285917496444</v>
      </c>
      <c r="P61" s="4">
        <f>P60*0.3</f>
        <v>6702</v>
      </c>
      <c r="Q61" s="4">
        <f>Q60*0.3</f>
        <v>6732</v>
      </c>
    </row>
    <row r="62" spans="11:17" ht="12.75">
      <c r="K62" t="s">
        <v>202</v>
      </c>
      <c r="M62" s="4">
        <f>M60-M61</f>
        <v>13076</v>
      </c>
      <c r="N62" s="4">
        <f>N60-N61</f>
        <v>13843.01280227596</v>
      </c>
      <c r="O62" s="4">
        <f>O60-O61</f>
        <v>14693.667140825037</v>
      </c>
      <c r="P62" s="4">
        <f>P60-P61</f>
        <v>15638</v>
      </c>
      <c r="Q62" s="4">
        <f>Q60-Q61</f>
        <v>15708</v>
      </c>
    </row>
    <row r="63" spans="11:17" ht="12.75">
      <c r="K63" t="s">
        <v>203</v>
      </c>
      <c r="M63" s="4">
        <f>M58</f>
        <v>3000</v>
      </c>
      <c r="N63" s="4">
        <f>N58</f>
        <v>3000</v>
      </c>
      <c r="O63" s="4">
        <f>O58</f>
        <v>3000</v>
      </c>
      <c r="P63" s="4">
        <f>P58</f>
        <v>3000</v>
      </c>
      <c r="Q63" s="4">
        <f>Q58</f>
        <v>3000</v>
      </c>
    </row>
    <row r="64" spans="11:17" ht="12.75">
      <c r="K64" t="s">
        <v>216</v>
      </c>
      <c r="M64" s="4">
        <f>M59</f>
        <v>6800</v>
      </c>
      <c r="N64" s="4">
        <f>N59</f>
        <v>6800</v>
      </c>
      <c r="O64" s="4">
        <f>O59</f>
        <v>6800</v>
      </c>
      <c r="P64" s="4">
        <f>P59</f>
        <v>6800</v>
      </c>
      <c r="Q64" s="4">
        <f>Q59</f>
        <v>6800</v>
      </c>
    </row>
    <row r="65" ht="12.75">
      <c r="K65" t="s">
        <v>218</v>
      </c>
    </row>
    <row r="66" spans="11:12" ht="12.75">
      <c r="K66" t="s">
        <v>219</v>
      </c>
      <c r="L66" s="4">
        <f>B17</f>
        <v>14000</v>
      </c>
    </row>
    <row r="67" spans="11:12" ht="12.75">
      <c r="K67" t="s">
        <v>220</v>
      </c>
      <c r="L67" s="4">
        <f>B18</f>
        <v>28000</v>
      </c>
    </row>
    <row r="68" spans="11:12" ht="12.75">
      <c r="K68" t="s">
        <v>222</v>
      </c>
      <c r="L68" s="4">
        <f>B22</f>
        <v>-35000</v>
      </c>
    </row>
    <row r="69" spans="11:12" ht="12.75">
      <c r="K69" t="s">
        <v>205</v>
      </c>
      <c r="L69" s="4">
        <f>B20</f>
        <v>-5852</v>
      </c>
    </row>
    <row r="70" spans="11:12" ht="12.75">
      <c r="K70" t="s">
        <v>221</v>
      </c>
      <c r="L70" s="4">
        <f>B21</f>
        <v>-21000</v>
      </c>
    </row>
    <row r="71" spans="11:17" ht="12.75">
      <c r="K71" t="s">
        <v>223</v>
      </c>
      <c r="L71" s="4"/>
      <c r="M71" s="4">
        <f>C39</f>
        <v>2000</v>
      </c>
      <c r="N71" s="4">
        <f>D39</f>
        <v>2000</v>
      </c>
      <c r="O71" s="4">
        <f>E39</f>
        <v>2000</v>
      </c>
      <c r="P71" s="4">
        <f>F39</f>
        <v>2000</v>
      </c>
      <c r="Q71" s="4">
        <f>G39</f>
        <v>6000</v>
      </c>
    </row>
    <row r="72" spans="11:17" ht="12.75">
      <c r="K72" t="s">
        <v>224</v>
      </c>
      <c r="L72" s="4"/>
      <c r="M72" s="4">
        <f>C40</f>
        <v>8297.771455666192</v>
      </c>
      <c r="N72" s="4">
        <f>D40</f>
        <v>9293.504030346136</v>
      </c>
      <c r="O72" s="4">
        <f>E40</f>
        <v>10408.724513987672</v>
      </c>
      <c r="P72" s="4">
        <f>F40</f>
        <v>0</v>
      </c>
      <c r="Q72" s="4">
        <f>G40</f>
        <v>0</v>
      </c>
    </row>
    <row r="73" spans="11:17" ht="12.75">
      <c r="K73" t="s">
        <v>208</v>
      </c>
      <c r="L73" s="4">
        <f>SUM(L65:L70)</f>
        <v>-19852</v>
      </c>
      <c r="M73" s="4">
        <f>M62+M63+M64-M71-M72</f>
        <v>12578.228544333808</v>
      </c>
      <c r="N73" s="4">
        <f>N62+N63+N64-N71-N72</f>
        <v>12349.508771929824</v>
      </c>
      <c r="O73" s="4">
        <f>O62+O63+O64-O71-O72</f>
        <v>12084.942626837365</v>
      </c>
      <c r="P73" s="4">
        <f>P62+P63+P64-P71-P72</f>
        <v>23438</v>
      </c>
      <c r="Q73" s="4">
        <f>Q62+Q63+Q64-Q71-Q72</f>
        <v>19508</v>
      </c>
    </row>
  </sheetData>
  <sheetProtection/>
  <printOptions/>
  <pageMargins left="0.75" right="0.75" top="1" bottom="1" header="0" footer="0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C17" sqref="C17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25.5">
      <c r="B1" s="36" t="s">
        <v>161</v>
      </c>
      <c r="C1" s="36"/>
      <c r="D1" s="40"/>
      <c r="E1" s="40"/>
      <c r="F1" s="40"/>
    </row>
    <row r="2" spans="2:6" ht="12.75">
      <c r="B2" s="36" t="s">
        <v>162</v>
      </c>
      <c r="C2" s="36"/>
      <c r="D2" s="40"/>
      <c r="E2" s="40"/>
      <c r="F2" s="40"/>
    </row>
    <row r="3" spans="2:6" ht="12.75">
      <c r="B3" s="37"/>
      <c r="C3" s="37"/>
      <c r="D3" s="41"/>
      <c r="E3" s="41"/>
      <c r="F3" s="41"/>
    </row>
    <row r="4" spans="2:6" ht="51">
      <c r="B4" s="37" t="s">
        <v>163</v>
      </c>
      <c r="C4" s="37"/>
      <c r="D4" s="41"/>
      <c r="E4" s="41"/>
      <c r="F4" s="41"/>
    </row>
    <row r="5" spans="2:6" ht="12.75">
      <c r="B5" s="37"/>
      <c r="C5" s="37"/>
      <c r="D5" s="41"/>
      <c r="E5" s="41"/>
      <c r="F5" s="41"/>
    </row>
    <row r="6" spans="2:6" ht="25.5">
      <c r="B6" s="36" t="s">
        <v>164</v>
      </c>
      <c r="C6" s="36"/>
      <c r="D6" s="40"/>
      <c r="E6" s="40" t="s">
        <v>165</v>
      </c>
      <c r="F6" s="40" t="s">
        <v>166</v>
      </c>
    </row>
    <row r="7" spans="2:6" ht="13.5" thickBot="1">
      <c r="B7" s="37"/>
      <c r="C7" s="37"/>
      <c r="D7" s="41"/>
      <c r="E7" s="41"/>
      <c r="F7" s="41"/>
    </row>
    <row r="8" spans="2:6" ht="39" thickBot="1">
      <c r="B8" s="38" t="s">
        <v>167</v>
      </c>
      <c r="C8" s="39"/>
      <c r="D8" s="42"/>
      <c r="E8" s="42">
        <v>1</v>
      </c>
      <c r="F8" s="43" t="s">
        <v>168</v>
      </c>
    </row>
    <row r="9" spans="2:6" ht="12.75">
      <c r="B9" s="37"/>
      <c r="C9" s="37"/>
      <c r="D9" s="41"/>
      <c r="E9" s="41"/>
      <c r="F9" s="41"/>
    </row>
    <row r="10" spans="2:6" ht="12.75">
      <c r="B10" s="37"/>
      <c r="C10" s="37"/>
      <c r="D10" s="41"/>
      <c r="E10" s="41"/>
      <c r="F10" s="4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softhrd consultores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wilder</dc:creator>
  <cp:keywords/>
  <dc:description/>
  <cp:lastModifiedBy>Luis</cp:lastModifiedBy>
  <cp:lastPrinted>2005-12-10T22:26:32Z</cp:lastPrinted>
  <dcterms:created xsi:type="dcterms:W3CDTF">2005-12-08T05:01:06Z</dcterms:created>
  <dcterms:modified xsi:type="dcterms:W3CDTF">2018-07-02T16:54:13Z</dcterms:modified>
  <cp:category/>
  <cp:version/>
  <cp:contentType/>
  <cp:contentStatus/>
</cp:coreProperties>
</file>