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JERCICIOS LIBRO PROYECTOS BORRADOR\CASO INFLACION- LIBRO INGECO 517\"/>
    </mc:Choice>
  </mc:AlternateContent>
  <bookViews>
    <workbookView xWindow="0" yWindow="600" windowWidth="20490" windowHeight="7740" activeTab="3"/>
  </bookViews>
  <sheets>
    <sheet name="A" sheetId="1" r:id="rId1"/>
    <sheet name="B" sheetId="2" r:id="rId2"/>
    <sheet name="C" sheetId="3" r:id="rId3"/>
    <sheet name="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4" l="1"/>
  <c r="K21" i="4"/>
  <c r="M18" i="4"/>
  <c r="L18" i="4"/>
  <c r="N8" i="4"/>
  <c r="N6" i="4" s="1"/>
  <c r="M8" i="4"/>
  <c r="L8" i="4"/>
  <c r="L17" i="4"/>
  <c r="E9" i="4"/>
  <c r="G15" i="4"/>
  <c r="F15" i="4"/>
  <c r="E15" i="4"/>
  <c r="K14" i="4"/>
  <c r="M17" i="4"/>
  <c r="N17" i="4"/>
  <c r="K17" i="4"/>
  <c r="N15" i="4"/>
  <c r="M15" i="4"/>
  <c r="L15" i="4"/>
  <c r="K15" i="4"/>
  <c r="M6" i="4"/>
  <c r="L6" i="4"/>
  <c r="K6" i="4"/>
  <c r="N13" i="4"/>
  <c r="M13" i="4"/>
  <c r="L13" i="4"/>
  <c r="L12" i="4"/>
  <c r="M12" i="4"/>
  <c r="N12" i="4"/>
  <c r="K12" i="4"/>
  <c r="L11" i="4"/>
  <c r="M11" i="4"/>
  <c r="N11" i="4"/>
  <c r="K11" i="4"/>
  <c r="L9" i="4"/>
  <c r="M9" i="4"/>
  <c r="N9" i="4"/>
  <c r="K9" i="4"/>
  <c r="F52" i="3"/>
  <c r="E52" i="3"/>
  <c r="D52" i="3"/>
  <c r="C52" i="3"/>
  <c r="D43" i="3"/>
  <c r="D51" i="3"/>
  <c r="D50" i="3"/>
  <c r="C50" i="3"/>
  <c r="F45" i="3"/>
  <c r="E45" i="3"/>
  <c r="D45" i="3"/>
  <c r="E44" i="3"/>
  <c r="F44" i="3"/>
  <c r="D44" i="3"/>
  <c r="K45" i="3"/>
  <c r="L45" i="3"/>
  <c r="C45" i="3"/>
  <c r="D40" i="3"/>
  <c r="C40" i="3"/>
  <c r="D31" i="3"/>
  <c r="D30" i="3"/>
  <c r="D28" i="3"/>
  <c r="E27" i="3"/>
  <c r="D27" i="3"/>
  <c r="D26" i="3"/>
  <c r="D25" i="3"/>
  <c r="E24" i="3"/>
  <c r="F24" i="3"/>
  <c r="D24" i="3"/>
  <c r="E23" i="3"/>
  <c r="F23" i="3"/>
  <c r="D23" i="3"/>
  <c r="D21" i="3"/>
  <c r="D20" i="3"/>
  <c r="D19" i="3"/>
  <c r="E18" i="3"/>
  <c r="F18" i="3"/>
  <c r="D18" i="3"/>
  <c r="E17" i="3"/>
  <c r="F17" i="3"/>
  <c r="D17" i="3"/>
  <c r="E16" i="3"/>
  <c r="F16" i="3"/>
  <c r="D16" i="3"/>
  <c r="E15" i="3"/>
  <c r="F15" i="3"/>
  <c r="D15" i="3"/>
  <c r="E14" i="3"/>
  <c r="F14" i="3"/>
  <c r="D14" i="3"/>
  <c r="E12" i="3"/>
  <c r="F12" i="3"/>
  <c r="D12" i="3"/>
  <c r="E7" i="4" s="1"/>
  <c r="F23" i="2"/>
  <c r="E23" i="2"/>
  <c r="D23" i="2"/>
  <c r="D24" i="2" s="1"/>
  <c r="D25" i="2" s="1"/>
  <c r="D19" i="2"/>
  <c r="D17" i="2"/>
  <c r="C4" i="2"/>
  <c r="C6" i="2"/>
  <c r="D18" i="2"/>
  <c r="E13" i="1"/>
  <c r="C13" i="1"/>
  <c r="D14" i="1"/>
  <c r="D13" i="1"/>
  <c r="B13" i="1"/>
  <c r="B12" i="1"/>
  <c r="E11" i="1"/>
  <c r="D11" i="1"/>
  <c r="C11" i="1"/>
  <c r="B11" i="1"/>
  <c r="E39" i="4"/>
  <c r="E38" i="4"/>
  <c r="D40" i="4"/>
  <c r="D35" i="4"/>
  <c r="D22" i="4" s="1"/>
  <c r="B50" i="3" l="1"/>
  <c r="J40" i="3"/>
  <c r="K40" i="3"/>
  <c r="C51" i="3"/>
  <c r="D26" i="2" l="1"/>
  <c r="N45" i="3"/>
  <c r="M45" i="3"/>
  <c r="H26" i="4"/>
  <c r="D25" i="4"/>
  <c r="D26" i="4" s="1"/>
  <c r="C34" i="3"/>
  <c r="F19" i="3"/>
  <c r="C5" i="3"/>
  <c r="F20" i="3" s="1"/>
  <c r="C3" i="3"/>
  <c r="E18" i="2"/>
  <c r="F18" i="2"/>
  <c r="E17" i="2"/>
  <c r="F17" i="2"/>
  <c r="E20" i="3" l="1"/>
  <c r="F31" i="3"/>
  <c r="E21" i="4"/>
  <c r="G9" i="4"/>
  <c r="G10" i="4" s="1"/>
  <c r="G14" i="4" s="1"/>
  <c r="G16" i="4" s="1"/>
  <c r="F21" i="3"/>
  <c r="E31" i="3"/>
  <c r="E19" i="3"/>
  <c r="G21" i="4"/>
  <c r="D12" i="1"/>
  <c r="E40" i="3" s="1"/>
  <c r="E43" i="3" s="1"/>
  <c r="F40" i="3"/>
  <c r="F43" i="3" s="1"/>
  <c r="C12" i="1"/>
  <c r="E41" i="3" s="1"/>
  <c r="E42" i="3" s="1"/>
  <c r="F41" i="3"/>
  <c r="F42" i="3" s="1"/>
  <c r="D41" i="3"/>
  <c r="D42" i="3" s="1"/>
  <c r="F51" i="3" l="1"/>
  <c r="E12" i="1"/>
  <c r="F9" i="4"/>
  <c r="F10" i="4" s="1"/>
  <c r="F14" i="4" s="1"/>
  <c r="F16" i="4" s="1"/>
  <c r="F17" i="4" s="1"/>
  <c r="F20" i="4" s="1"/>
  <c r="F26" i="4" s="1"/>
  <c r="E21" i="3"/>
  <c r="E10" i="4"/>
  <c r="E14" i="4" s="1"/>
  <c r="E16" i="4" s="1"/>
  <c r="F21" i="4"/>
  <c r="G17" i="4"/>
  <c r="G20" i="4" s="1"/>
  <c r="G26" i="4" s="1"/>
  <c r="F26" i="3"/>
  <c r="F25" i="3"/>
  <c r="E19" i="2"/>
  <c r="E24" i="2" s="1"/>
  <c r="E25" i="2" s="1"/>
  <c r="E26" i="2" s="1"/>
  <c r="F19" i="2"/>
  <c r="F24" i="2" s="1"/>
  <c r="F25" i="2" s="1"/>
  <c r="F26" i="2" s="1"/>
  <c r="E51" i="3" l="1"/>
  <c r="F18" i="4"/>
  <c r="F27" i="3"/>
  <c r="F28" i="3" s="1"/>
  <c r="E26" i="3"/>
  <c r="E25" i="3"/>
  <c r="E17" i="4"/>
  <c r="E20" i="4" s="1"/>
  <c r="E26" i="4" s="1"/>
  <c r="G18" i="4"/>
  <c r="F30" i="3" l="1"/>
  <c r="F34" i="3" s="1"/>
  <c r="F50" i="3" s="1"/>
  <c r="E28" i="3"/>
  <c r="E18" i="4"/>
  <c r="D34" i="3"/>
  <c r="L14" i="4" l="1"/>
  <c r="M14" i="4"/>
  <c r="M21" i="4" s="1"/>
  <c r="N18" i="4"/>
  <c r="N14" i="4" s="1"/>
  <c r="N21" i="4" s="1"/>
  <c r="E30" i="3"/>
  <c r="E34" i="3" s="1"/>
  <c r="E50" i="3" s="1"/>
</calcChain>
</file>

<file path=xl/sharedStrings.xml><?xml version="1.0" encoding="utf-8"?>
<sst xmlns="http://schemas.openxmlformats.org/spreadsheetml/2006/main" count="125" uniqueCount="101">
  <si>
    <t xml:space="preserve">Solución: </t>
  </si>
  <si>
    <t xml:space="preserve">Método alemán </t>
  </si>
  <si>
    <t>Tasa de interés: 15% anual</t>
  </si>
  <si>
    <t>Cuotas: anuales</t>
  </si>
  <si>
    <t>Servicio de la deuda: Método alemán (US$)</t>
  </si>
  <si>
    <t>a.       Cuadro de servicio de deuda.</t>
  </si>
  <si>
    <t>ESTADO DE PÉRDIDAS Y GANANCIAS (US$)</t>
  </si>
  <si>
    <t>b.       Estado de Pérdidas y Ganancias.</t>
  </si>
  <si>
    <t>Años</t>
  </si>
  <si>
    <t xml:space="preserve">Ingresos </t>
  </si>
  <si>
    <t xml:space="preserve">Costos </t>
  </si>
  <si>
    <t xml:space="preserve">Materiales directos </t>
  </si>
  <si>
    <t>Mano de obra directa</t>
  </si>
  <si>
    <t xml:space="preserve">Materiales indirectos </t>
  </si>
  <si>
    <t xml:space="preserve">Mano de obra indirecta </t>
  </si>
  <si>
    <t xml:space="preserve">Suministros </t>
  </si>
  <si>
    <t xml:space="preserve">Depreciación </t>
  </si>
  <si>
    <t xml:space="preserve">Amortización intangibles </t>
  </si>
  <si>
    <t>UTILIDAD BRUTA</t>
  </si>
  <si>
    <t xml:space="preserve">Gastos operativos </t>
  </si>
  <si>
    <t xml:space="preserve">Gastos administrativos </t>
  </si>
  <si>
    <t>Gastos de ventas</t>
  </si>
  <si>
    <t xml:space="preserve">Gastos financieros </t>
  </si>
  <si>
    <t xml:space="preserve">UTILIDAD DISPONIBLE </t>
  </si>
  <si>
    <t xml:space="preserve">Impuesto a la renta </t>
  </si>
  <si>
    <t>UTILIDAD NETA</t>
  </si>
  <si>
    <t>c.       Flujo de caja económico.</t>
  </si>
  <si>
    <t>(1) Año n</t>
  </si>
  <si>
    <t>(2) Saldo deudor</t>
  </si>
  <si>
    <t>(3) Interés saldo * 0.15</t>
  </si>
  <si>
    <t>(4) Amortización P/n</t>
  </si>
  <si>
    <t>(5) Cuotas (3) + (4)</t>
  </si>
  <si>
    <t>FLUJO DE CAJA ECONÓMICO (US$)</t>
  </si>
  <si>
    <t>ESTADO DE RESULTADOS</t>
  </si>
  <si>
    <t xml:space="preserve">Costos de Producción </t>
  </si>
  <si>
    <t xml:space="preserve">Mano de obra </t>
  </si>
  <si>
    <t xml:space="preserve">Materia prima </t>
  </si>
  <si>
    <t xml:space="preserve">Materias indirectas </t>
  </si>
  <si>
    <t xml:space="preserve">Amortización intangible </t>
  </si>
  <si>
    <t xml:space="preserve">UTILIDAD BRUTA </t>
  </si>
  <si>
    <t xml:space="preserve">Costos de operación  </t>
  </si>
  <si>
    <t xml:space="preserve">Gastos de ventas  </t>
  </si>
  <si>
    <t xml:space="preserve">Gastos de administración </t>
  </si>
  <si>
    <t xml:space="preserve">UTILIDAD OPERATIVA </t>
  </si>
  <si>
    <t xml:space="preserve">UTILIDAD ANTES DE IMPUESTOS </t>
  </si>
  <si>
    <t xml:space="preserve">Impuesto a la renta (30%) </t>
  </si>
  <si>
    <t xml:space="preserve">UTILIDAD NETA </t>
  </si>
  <si>
    <t>ESTADO DE FLUJO DE EFECTIVO DE LAS OPERACIONES</t>
  </si>
  <si>
    <t>Utilidad neta</t>
  </si>
  <si>
    <t xml:space="preserve">Deprec. + Amort. Intangibles </t>
  </si>
  <si>
    <t xml:space="preserve">Inversiones </t>
  </si>
  <si>
    <t xml:space="preserve">Recuperación capital de trabajo </t>
  </si>
  <si>
    <t xml:space="preserve">FFN ECONÓMICO </t>
  </si>
  <si>
    <t>ESTADOS PRO-FORMA DE BALANCES (US$)</t>
  </si>
  <si>
    <t>d. Flujo de caja financiero</t>
  </si>
  <si>
    <t>Valor Recup.</t>
  </si>
  <si>
    <t xml:space="preserve">Costos de producción </t>
  </si>
  <si>
    <t xml:space="preserve">Producción </t>
  </si>
  <si>
    <t xml:space="preserve">Costo de ventas </t>
  </si>
  <si>
    <t xml:space="preserve">Impuesto (30%) </t>
  </si>
  <si>
    <t xml:space="preserve">Utilidad neta </t>
  </si>
  <si>
    <t>Depreciación + Amort. Intangibles</t>
  </si>
  <si>
    <t xml:space="preserve">Inversión </t>
  </si>
  <si>
    <t xml:space="preserve">Valor residual </t>
  </si>
  <si>
    <t xml:space="preserve">Recup. C. Trabajo </t>
  </si>
  <si>
    <t xml:space="preserve">Reposición de préstamos </t>
  </si>
  <si>
    <t>F.F.N. FINANCIERO</t>
  </si>
  <si>
    <t>FLUJO DE CAJA FINANCIERO (US$)</t>
  </si>
  <si>
    <t>ACTIVO</t>
  </si>
  <si>
    <t>ACTIVO CORRIENTE</t>
  </si>
  <si>
    <t>Caja y Bancos</t>
  </si>
  <si>
    <t>Capital de trabajo</t>
  </si>
  <si>
    <t>ACTIVO NO CORRIENTE</t>
  </si>
  <si>
    <t>Activo tangible</t>
  </si>
  <si>
    <t>Activo intangible</t>
  </si>
  <si>
    <t>Depre + Amort. Int.</t>
  </si>
  <si>
    <t>PASIVO</t>
  </si>
  <si>
    <t>Préstamo</t>
  </si>
  <si>
    <t>PATRIMONIO</t>
  </si>
  <si>
    <t>Aporte de capital</t>
  </si>
  <si>
    <t>Utilidades retenidas</t>
  </si>
  <si>
    <t>-</t>
  </si>
  <si>
    <t>Tiempo del proyecto en años:</t>
  </si>
  <si>
    <t>Depreciación =</t>
  </si>
  <si>
    <t>34300 / 3 =</t>
  </si>
  <si>
    <t>3370 / 3 =</t>
  </si>
  <si>
    <t>Amortización intangibles =</t>
  </si>
  <si>
    <t xml:space="preserve">CUADRO DE FINANCIAMIENTO NETO SIN INFLACION </t>
  </si>
  <si>
    <t>Escudo fiscal de la deuda</t>
  </si>
  <si>
    <t>Financiamiento neto</t>
  </si>
  <si>
    <t>Deflactor</t>
  </si>
  <si>
    <t xml:space="preserve">FINANCIAMIENTO NETO SIN INFLACIÓN </t>
  </si>
  <si>
    <t>INFLACIÓN</t>
  </si>
  <si>
    <t>DEFLACTOR</t>
  </si>
  <si>
    <t>FFN FINANCIERO</t>
  </si>
  <si>
    <t xml:space="preserve">Reposición del prestamo </t>
  </si>
  <si>
    <t>Intereses</t>
  </si>
  <si>
    <t>capital de trabajo</t>
  </si>
  <si>
    <t>INVERSIÓN</t>
  </si>
  <si>
    <t>Aporte propio</t>
  </si>
  <si>
    <t>Prestamo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</si>
</sst>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0000"/>
    <numFmt numFmtId="167" formatCode="0.0000"/>
    <numFmt numFmtId="168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i/>
      <sz val="10.5"/>
      <color rgb="FF000099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rgb="FFC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rgb="FF000099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CC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2" fontId="0" fillId="0" borderId="0" xfId="0" applyNumberFormat="1"/>
    <xf numFmtId="165" fontId="6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167" fontId="0" fillId="0" borderId="0" xfId="0" applyNumberFormat="1"/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3" fontId="0" fillId="0" borderId="9" xfId="0" applyNumberFormat="1" applyBorder="1"/>
    <xf numFmtId="3" fontId="0" fillId="0" borderId="15" xfId="0" applyNumberFormat="1" applyBorder="1"/>
    <xf numFmtId="3" fontId="0" fillId="0" borderId="8" xfId="0" applyNumberFormat="1" applyBorder="1"/>
    <xf numFmtId="3" fontId="6" fillId="0" borderId="1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9" fontId="0" fillId="0" borderId="0" xfId="1" applyFont="1" applyAlignment="1">
      <alignment horizontal="center"/>
    </xf>
    <xf numFmtId="3" fontId="0" fillId="0" borderId="0" xfId="0" applyNumberFormat="1"/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4" fontId="10" fillId="0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2" sqref="B12"/>
    </sheetView>
  </sheetViews>
  <sheetFormatPr baseColWidth="10" defaultRowHeight="15" x14ac:dyDescent="0.25"/>
  <cols>
    <col min="2" max="2" width="15.5703125" customWidth="1"/>
    <col min="3" max="3" width="16.85546875" customWidth="1"/>
    <col min="4" max="4" width="15.5703125" customWidth="1"/>
    <col min="5" max="5" width="18.140625" customWidth="1"/>
  </cols>
  <sheetData>
    <row r="1" spans="1:5" x14ac:dyDescent="0.25">
      <c r="A1" t="s">
        <v>0</v>
      </c>
    </row>
    <row r="3" spans="1:5" x14ac:dyDescent="0.25">
      <c r="A3" s="1" t="s">
        <v>5</v>
      </c>
    </row>
    <row r="5" spans="1:5" x14ac:dyDescent="0.25">
      <c r="A5" t="s">
        <v>1</v>
      </c>
    </row>
    <row r="6" spans="1:5" x14ac:dyDescent="0.25">
      <c r="A6" t="s">
        <v>2</v>
      </c>
    </row>
    <row r="7" spans="1:5" x14ac:dyDescent="0.25">
      <c r="A7" t="s">
        <v>3</v>
      </c>
    </row>
    <row r="8" spans="1:5" x14ac:dyDescent="0.25">
      <c r="A8" t="s">
        <v>4</v>
      </c>
    </row>
    <row r="9" spans="1:5" ht="15.75" thickBot="1" x14ac:dyDescent="0.3">
      <c r="A9" t="s">
        <v>82</v>
      </c>
      <c r="C9" s="56">
        <v>3</v>
      </c>
    </row>
    <row r="10" spans="1:5" ht="30.75" thickBot="1" x14ac:dyDescent="0.3">
      <c r="A10" s="13" t="s">
        <v>27</v>
      </c>
      <c r="B10" s="14" t="s">
        <v>28</v>
      </c>
      <c r="C10" s="14" t="s">
        <v>29</v>
      </c>
      <c r="D10" s="14" t="s">
        <v>30</v>
      </c>
      <c r="E10" s="15" t="s">
        <v>31</v>
      </c>
    </row>
    <row r="11" spans="1:5" x14ac:dyDescent="0.25">
      <c r="A11" s="3">
        <v>1</v>
      </c>
      <c r="B11" s="4">
        <f>D!D39</f>
        <v>48900</v>
      </c>
      <c r="C11" s="3">
        <f>B11*0.15</f>
        <v>7335</v>
      </c>
      <c r="D11" s="4">
        <f>$B$11/$C$9</f>
        <v>16300</v>
      </c>
      <c r="E11" s="5">
        <f>C11+D11</f>
        <v>23635</v>
      </c>
    </row>
    <row r="12" spans="1:5" x14ac:dyDescent="0.25">
      <c r="A12" s="3">
        <v>2</v>
      </c>
      <c r="B12" s="4">
        <f>B11-D11</f>
        <v>32600</v>
      </c>
      <c r="C12" s="3">
        <f t="shared" ref="C12:C13" si="0">B12*0.15</f>
        <v>4890</v>
      </c>
      <c r="D12" s="4">
        <f t="shared" ref="D12:D13" si="1">$B$11/$C$9</f>
        <v>16300</v>
      </c>
      <c r="E12" s="5">
        <f t="shared" ref="E12:E13" si="2">C12+D12</f>
        <v>21190</v>
      </c>
    </row>
    <row r="13" spans="1:5" x14ac:dyDescent="0.25">
      <c r="A13" s="3">
        <v>3</v>
      </c>
      <c r="B13" s="4">
        <f>B12-D12</f>
        <v>16300</v>
      </c>
      <c r="C13" s="3">
        <f>B13*0.15</f>
        <v>2445</v>
      </c>
      <c r="D13" s="74">
        <f>$B$11/$C$9</f>
        <v>16300</v>
      </c>
      <c r="E13" s="5">
        <f>C13+D13</f>
        <v>18745</v>
      </c>
    </row>
    <row r="14" spans="1:5" ht="15.75" thickBot="1" x14ac:dyDescent="0.3">
      <c r="A14" s="6"/>
      <c r="B14" s="6"/>
      <c r="C14" s="6"/>
      <c r="D14" s="7">
        <f>SUM(D11:D13)</f>
        <v>48900</v>
      </c>
      <c r="E14" s="8"/>
    </row>
    <row r="16" spans="1:5" x14ac:dyDescent="0.25">
      <c r="B16" s="1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Normal="100" workbookViewId="0">
      <selection activeCell="B22" sqref="B22"/>
    </sheetView>
  </sheetViews>
  <sheetFormatPr baseColWidth="10" defaultRowHeight="15" x14ac:dyDescent="0.25"/>
  <cols>
    <col min="1" max="1" width="13.85546875" customWidth="1"/>
    <col min="3" max="3" width="24.28515625" customWidth="1"/>
    <col min="4" max="4" width="19.85546875" customWidth="1"/>
    <col min="8" max="8" width="11.7109375" bestFit="1" customWidth="1"/>
  </cols>
  <sheetData>
    <row r="2" spans="1:8" x14ac:dyDescent="0.25">
      <c r="A2" s="1" t="s">
        <v>7</v>
      </c>
    </row>
    <row r="4" spans="1:8" x14ac:dyDescent="0.25">
      <c r="A4" t="s">
        <v>83</v>
      </c>
      <c r="B4" s="56" t="s">
        <v>84</v>
      </c>
      <c r="C4" s="60">
        <f>D!D32/ 3</f>
        <v>11433.333333333334</v>
      </c>
    </row>
    <row r="6" spans="1:8" ht="27.75" customHeight="1" x14ac:dyDescent="0.25">
      <c r="A6" s="59" t="s">
        <v>86</v>
      </c>
      <c r="B6" s="56" t="s">
        <v>85</v>
      </c>
      <c r="C6" s="61">
        <f>D!D33/ 3</f>
        <v>1123.3333333333333</v>
      </c>
    </row>
    <row r="8" spans="1:8" ht="15.75" thickBot="1" x14ac:dyDescent="0.3">
      <c r="C8" s="94" t="s">
        <v>6</v>
      </c>
      <c r="D8" s="94"/>
      <c r="E8" s="94"/>
      <c r="F8" s="94"/>
    </row>
    <row r="9" spans="1:8" ht="15.75" thickBot="1" x14ac:dyDescent="0.3">
      <c r="C9" s="9" t="s">
        <v>8</v>
      </c>
      <c r="D9" s="9">
        <v>2019</v>
      </c>
      <c r="E9" s="9">
        <v>2020</v>
      </c>
      <c r="F9" s="85">
        <v>2021</v>
      </c>
    </row>
    <row r="10" spans="1:8" x14ac:dyDescent="0.25">
      <c r="C10" s="34" t="s">
        <v>9</v>
      </c>
      <c r="D10" s="10">
        <v>406970</v>
      </c>
      <c r="E10" s="10">
        <v>412700</v>
      </c>
      <c r="F10" s="86">
        <v>418430</v>
      </c>
      <c r="H10" s="2"/>
    </row>
    <row r="11" spans="1:8" x14ac:dyDescent="0.25">
      <c r="C11" s="34" t="s">
        <v>10</v>
      </c>
      <c r="D11" s="3"/>
      <c r="E11" s="3"/>
      <c r="F11" s="87"/>
      <c r="H11" s="2"/>
    </row>
    <row r="12" spans="1:8" x14ac:dyDescent="0.25">
      <c r="C12" s="35" t="s">
        <v>11</v>
      </c>
      <c r="D12" s="10">
        <v>39620</v>
      </c>
      <c r="E12" s="10">
        <v>40180</v>
      </c>
      <c r="F12" s="88">
        <v>40740</v>
      </c>
      <c r="H12" s="2"/>
    </row>
    <row r="13" spans="1:8" x14ac:dyDescent="0.25">
      <c r="C13" s="35" t="s">
        <v>12</v>
      </c>
      <c r="D13" s="10">
        <v>26650</v>
      </c>
      <c r="E13" s="10">
        <v>26650</v>
      </c>
      <c r="F13" s="88">
        <v>26650</v>
      </c>
      <c r="H13" s="2"/>
    </row>
    <row r="14" spans="1:8" x14ac:dyDescent="0.25">
      <c r="C14" s="35" t="s">
        <v>13</v>
      </c>
      <c r="D14" s="10">
        <v>840</v>
      </c>
      <c r="E14" s="10">
        <v>760</v>
      </c>
      <c r="F14" s="88">
        <v>810</v>
      </c>
      <c r="H14" s="2"/>
    </row>
    <row r="15" spans="1:8" x14ac:dyDescent="0.25">
      <c r="C15" s="35" t="s">
        <v>14</v>
      </c>
      <c r="D15" s="10">
        <v>42640</v>
      </c>
      <c r="E15" s="10">
        <v>42640</v>
      </c>
      <c r="F15" s="88">
        <v>42640</v>
      </c>
      <c r="H15" s="2"/>
    </row>
    <row r="16" spans="1:8" x14ac:dyDescent="0.25">
      <c r="C16" s="35" t="s">
        <v>15</v>
      </c>
      <c r="D16" s="10">
        <v>5350</v>
      </c>
      <c r="E16" s="10">
        <v>5390</v>
      </c>
      <c r="F16" s="88">
        <v>5440</v>
      </c>
      <c r="H16" s="2"/>
    </row>
    <row r="17" spans="3:9" x14ac:dyDescent="0.25">
      <c r="C17" s="35" t="s">
        <v>16</v>
      </c>
      <c r="D17" s="10">
        <f>$C$4</f>
        <v>11433.333333333334</v>
      </c>
      <c r="E17" s="10">
        <f t="shared" ref="E17:F17" si="0">$C$4</f>
        <v>11433.333333333334</v>
      </c>
      <c r="F17" s="88">
        <f t="shared" si="0"/>
        <v>11433.333333333334</v>
      </c>
      <c r="H17" s="2"/>
    </row>
    <row r="18" spans="3:9" ht="15.75" thickBot="1" x14ac:dyDescent="0.3">
      <c r="C18" s="36" t="s">
        <v>17</v>
      </c>
      <c r="D18" s="89">
        <f>$C$6</f>
        <v>1123.3333333333333</v>
      </c>
      <c r="E18" s="89">
        <f t="shared" ref="E18:F18" si="1">$C$6</f>
        <v>1123.3333333333333</v>
      </c>
      <c r="F18" s="89">
        <f t="shared" si="1"/>
        <v>1123.3333333333333</v>
      </c>
      <c r="H18" s="2"/>
    </row>
    <row r="19" spans="3:9" ht="15.75" thickBot="1" x14ac:dyDescent="0.3">
      <c r="C19" s="37" t="s">
        <v>18</v>
      </c>
      <c r="D19" s="90">
        <f>D10-SUM(D12:D18)</f>
        <v>279313.33333333337</v>
      </c>
      <c r="E19" s="90">
        <f t="shared" ref="E19:F19" si="2">E10-SUM(E12:E18)</f>
        <v>284523.33333333337</v>
      </c>
      <c r="F19" s="91">
        <f t="shared" si="2"/>
        <v>289593.33333333337</v>
      </c>
    </row>
    <row r="20" spans="3:9" x14ac:dyDescent="0.25">
      <c r="C20" s="34" t="s">
        <v>19</v>
      </c>
      <c r="D20" s="3"/>
      <c r="E20" s="3"/>
      <c r="F20" s="11"/>
    </row>
    <row r="21" spans="3:9" x14ac:dyDescent="0.25">
      <c r="C21" s="35" t="s">
        <v>20</v>
      </c>
      <c r="D21" s="10">
        <v>94500</v>
      </c>
      <c r="E21" s="10">
        <v>94500</v>
      </c>
      <c r="F21" s="5">
        <v>94500</v>
      </c>
      <c r="G21" s="2"/>
      <c r="H21" s="2"/>
      <c r="I21" s="2"/>
    </row>
    <row r="22" spans="3:9" x14ac:dyDescent="0.25">
      <c r="C22" s="35" t="s">
        <v>21</v>
      </c>
      <c r="D22" s="115">
        <v>45880</v>
      </c>
      <c r="E22" s="115">
        <v>45920</v>
      </c>
      <c r="F22" s="116">
        <v>45950</v>
      </c>
      <c r="G22" s="2"/>
      <c r="H22" s="2"/>
      <c r="I22" s="2"/>
    </row>
    <row r="23" spans="3:9" ht="15.75" thickBot="1" x14ac:dyDescent="0.3">
      <c r="C23" s="36" t="s">
        <v>22</v>
      </c>
      <c r="D23" s="117">
        <f>A!C11</f>
        <v>7335</v>
      </c>
      <c r="E23" s="117">
        <f>A!C12</f>
        <v>4890</v>
      </c>
      <c r="F23" s="116">
        <f>A!C13</f>
        <v>2445</v>
      </c>
      <c r="G23" s="2"/>
      <c r="H23" s="2"/>
      <c r="I23" s="2"/>
    </row>
    <row r="24" spans="3:9" ht="15.75" thickBot="1" x14ac:dyDescent="0.3">
      <c r="C24" s="37" t="s">
        <v>23</v>
      </c>
      <c r="D24" s="90">
        <f>D19-SUM(D21:D23)</f>
        <v>131598.33333333337</v>
      </c>
      <c r="E24" s="90">
        <f>E19-SUM(E21:E23)</f>
        <v>139213.33333333337</v>
      </c>
      <c r="F24" s="92">
        <f t="shared" ref="F24" si="3">F19-SUM(F21:F23)</f>
        <v>146698.33333333337</v>
      </c>
      <c r="G24" s="2"/>
      <c r="H24" s="2"/>
      <c r="I24" s="2"/>
    </row>
    <row r="25" spans="3:9" ht="15.75" thickBot="1" x14ac:dyDescent="0.3">
      <c r="C25" s="36" t="s">
        <v>24</v>
      </c>
      <c r="D25" s="12">
        <f>0.3*D24</f>
        <v>39479.500000000007</v>
      </c>
      <c r="E25" s="12">
        <f t="shared" ref="E25:F25" si="4">0.3*E24</f>
        <v>41764.000000000007</v>
      </c>
      <c r="F25" s="75">
        <f t="shared" si="4"/>
        <v>44009.500000000007</v>
      </c>
    </row>
    <row r="26" spans="3:9" ht="15.75" thickBot="1" x14ac:dyDescent="0.3">
      <c r="C26" s="37" t="s">
        <v>25</v>
      </c>
      <c r="D26" s="90">
        <f>D24-D25</f>
        <v>92118.833333333372</v>
      </c>
      <c r="E26" s="90">
        <f t="shared" ref="E26:F26" si="5">E24-E25</f>
        <v>97449.333333333372</v>
      </c>
      <c r="F26" s="93">
        <f t="shared" si="5"/>
        <v>102688.83333333337</v>
      </c>
    </row>
    <row r="27" spans="3:9" x14ac:dyDescent="0.25">
      <c r="C27" s="31"/>
    </row>
    <row r="28" spans="3:9" x14ac:dyDescent="0.25">
      <c r="C28" s="31"/>
      <c r="D28" s="62"/>
    </row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5" zoomScaleNormal="100" workbookViewId="0">
      <selection activeCell="E56" sqref="E56"/>
    </sheetView>
  </sheetViews>
  <sheetFormatPr baseColWidth="10" defaultRowHeight="15" x14ac:dyDescent="0.25"/>
  <cols>
    <col min="1" max="1" width="25.28515625" customWidth="1"/>
    <col min="2" max="2" width="20.85546875" customWidth="1"/>
    <col min="4" max="4" width="15.42578125" customWidth="1"/>
    <col min="5" max="6" width="11.7109375" bestFit="1" customWidth="1"/>
  </cols>
  <sheetData>
    <row r="1" spans="1:9" x14ac:dyDescent="0.25">
      <c r="A1" s="1" t="s">
        <v>26</v>
      </c>
    </row>
    <row r="2" spans="1:9" x14ac:dyDescent="0.25">
      <c r="A2" s="1"/>
    </row>
    <row r="3" spans="1:9" x14ac:dyDescent="0.25">
      <c r="A3" s="64" t="s">
        <v>83</v>
      </c>
      <c r="B3" s="58" t="s">
        <v>84</v>
      </c>
      <c r="C3" s="65">
        <f xml:space="preserve"> 34300 / 3</f>
        <v>11433.333333333334</v>
      </c>
      <c r="D3" s="65"/>
    </row>
    <row r="4" spans="1:9" x14ac:dyDescent="0.25">
      <c r="A4" s="1"/>
    </row>
    <row r="5" spans="1:9" x14ac:dyDescent="0.25">
      <c r="A5" s="63" t="s">
        <v>86</v>
      </c>
      <c r="B5" s="58" t="s">
        <v>85</v>
      </c>
      <c r="C5" s="65">
        <f>3370 / 3</f>
        <v>1123.3333333333333</v>
      </c>
    </row>
    <row r="6" spans="1:9" x14ac:dyDescent="0.25">
      <c r="A6" s="1"/>
    </row>
    <row r="8" spans="1:9" x14ac:dyDescent="0.25">
      <c r="B8" s="1" t="s">
        <v>32</v>
      </c>
      <c r="H8" s="1"/>
    </row>
    <row r="9" spans="1:9" ht="15.75" thickBot="1" x14ac:dyDescent="0.3"/>
    <row r="10" spans="1:9" ht="15.75" thickBot="1" x14ac:dyDescent="0.3">
      <c r="B10" s="16" t="s">
        <v>8</v>
      </c>
      <c r="C10" s="17">
        <v>2018</v>
      </c>
      <c r="D10" s="17">
        <v>2019</v>
      </c>
      <c r="E10" s="17">
        <v>2020</v>
      </c>
      <c r="F10" s="17">
        <v>2021</v>
      </c>
    </row>
    <row r="11" spans="1:9" ht="15.75" thickBot="1" x14ac:dyDescent="0.3">
      <c r="B11" s="95" t="s">
        <v>33</v>
      </c>
      <c r="C11" s="96"/>
      <c r="D11" s="96"/>
      <c r="E11" s="96"/>
      <c r="F11" s="97"/>
    </row>
    <row r="12" spans="1:9" ht="15.75" thickBot="1" x14ac:dyDescent="0.3">
      <c r="B12" s="32" t="s">
        <v>9</v>
      </c>
      <c r="C12" s="18"/>
      <c r="D12" s="19">
        <f>B!D10</f>
        <v>406970</v>
      </c>
      <c r="E12" s="19">
        <f>B!E10</f>
        <v>412700</v>
      </c>
      <c r="F12" s="19">
        <f>B!F10</f>
        <v>418430</v>
      </c>
      <c r="G12" s="2"/>
      <c r="H12" s="2"/>
      <c r="I12" s="2"/>
    </row>
    <row r="13" spans="1:9" ht="15.75" thickBot="1" x14ac:dyDescent="0.3">
      <c r="B13" s="98" t="s">
        <v>34</v>
      </c>
      <c r="C13" s="99"/>
      <c r="D13" s="99"/>
      <c r="E13" s="99"/>
      <c r="F13" s="100"/>
      <c r="G13" s="2"/>
      <c r="H13" s="2"/>
      <c r="I13" s="2"/>
    </row>
    <row r="14" spans="1:9" ht="15.75" thickBot="1" x14ac:dyDescent="0.3">
      <c r="B14" s="32" t="s">
        <v>35</v>
      </c>
      <c r="C14" s="18"/>
      <c r="D14" s="19">
        <f>B!D13</f>
        <v>26650</v>
      </c>
      <c r="E14" s="19">
        <f>B!E13</f>
        <v>26650</v>
      </c>
      <c r="F14" s="19">
        <f>B!F13</f>
        <v>26650</v>
      </c>
      <c r="G14" s="2"/>
      <c r="H14" s="2"/>
      <c r="I14" s="2"/>
    </row>
    <row r="15" spans="1:9" ht="15.75" thickBot="1" x14ac:dyDescent="0.3">
      <c r="B15" s="32" t="s">
        <v>36</v>
      </c>
      <c r="C15" s="18"/>
      <c r="D15" s="19">
        <f>B!D12</f>
        <v>39620</v>
      </c>
      <c r="E15" s="19">
        <f>B!E12</f>
        <v>40180</v>
      </c>
      <c r="F15" s="19">
        <f>B!F12</f>
        <v>40740</v>
      </c>
      <c r="G15" s="2"/>
      <c r="H15" s="2"/>
      <c r="I15" s="2"/>
    </row>
    <row r="16" spans="1:9" ht="15.75" thickBot="1" x14ac:dyDescent="0.3">
      <c r="B16" s="32" t="s">
        <v>37</v>
      </c>
      <c r="C16" s="18"/>
      <c r="D16" s="19">
        <f>B!D14</f>
        <v>840</v>
      </c>
      <c r="E16" s="19">
        <f>B!E14</f>
        <v>760</v>
      </c>
      <c r="F16" s="19">
        <f>B!F14</f>
        <v>810</v>
      </c>
      <c r="G16" s="2"/>
      <c r="H16" s="2"/>
      <c r="I16" s="2"/>
    </row>
    <row r="17" spans="2:9" ht="15.75" thickBot="1" x14ac:dyDescent="0.3">
      <c r="B17" s="32" t="s">
        <v>14</v>
      </c>
      <c r="C17" s="18"/>
      <c r="D17" s="19">
        <f>B!D15</f>
        <v>42640</v>
      </c>
      <c r="E17" s="19">
        <f>B!E15</f>
        <v>42640</v>
      </c>
      <c r="F17" s="19">
        <f>B!F15</f>
        <v>42640</v>
      </c>
      <c r="G17" s="2"/>
      <c r="H17" s="2"/>
      <c r="I17" s="2"/>
    </row>
    <row r="18" spans="2:9" ht="15.75" thickBot="1" x14ac:dyDescent="0.3">
      <c r="B18" s="32" t="s">
        <v>15</v>
      </c>
      <c r="C18" s="18"/>
      <c r="D18" s="19">
        <f>B!D16</f>
        <v>5350</v>
      </c>
      <c r="E18" s="19">
        <f>B!E16</f>
        <v>5390</v>
      </c>
      <c r="F18" s="19">
        <f>B!F16</f>
        <v>5440</v>
      </c>
      <c r="G18" s="2"/>
      <c r="H18" s="2"/>
      <c r="I18" s="2"/>
    </row>
    <row r="19" spans="2:9" ht="15.75" thickBot="1" x14ac:dyDescent="0.3">
      <c r="B19" s="32" t="s">
        <v>16</v>
      </c>
      <c r="C19" s="18"/>
      <c r="D19" s="66">
        <f>$C$3</f>
        <v>11433.333333333334</v>
      </c>
      <c r="E19" s="66">
        <f>$C$3</f>
        <v>11433.333333333334</v>
      </c>
      <c r="F19" s="66">
        <f t="shared" ref="F19" si="0">$C$3</f>
        <v>11433.333333333334</v>
      </c>
      <c r="G19" s="2"/>
      <c r="H19" s="2"/>
      <c r="I19" s="2"/>
    </row>
    <row r="20" spans="2:9" ht="27" customHeight="1" thickBot="1" x14ac:dyDescent="0.3">
      <c r="B20" s="32" t="s">
        <v>38</v>
      </c>
      <c r="C20" s="18"/>
      <c r="D20" s="67">
        <f>$C$5</f>
        <v>1123.3333333333333</v>
      </c>
      <c r="E20" s="67">
        <f t="shared" ref="E20:F20" si="1">$C$5</f>
        <v>1123.3333333333333</v>
      </c>
      <c r="F20" s="67">
        <f t="shared" si="1"/>
        <v>1123.3333333333333</v>
      </c>
      <c r="G20" s="2"/>
      <c r="H20" s="2"/>
      <c r="I20" s="2"/>
    </row>
    <row r="21" spans="2:9" ht="15.75" thickBot="1" x14ac:dyDescent="0.3">
      <c r="B21" s="33" t="s">
        <v>39</v>
      </c>
      <c r="C21" s="20"/>
      <c r="D21" s="68">
        <f>D12-SUM(D14:D20)</f>
        <v>279313.33333333337</v>
      </c>
      <c r="E21" s="68">
        <f t="shared" ref="E21:F21" si="2">E12-SUM(E14:E20)</f>
        <v>284523.33333333337</v>
      </c>
      <c r="F21" s="68">
        <f t="shared" si="2"/>
        <v>289593.33333333337</v>
      </c>
      <c r="G21" s="2"/>
      <c r="H21" s="2"/>
      <c r="I21" s="2"/>
    </row>
    <row r="22" spans="2:9" ht="15.75" thickBot="1" x14ac:dyDescent="0.3">
      <c r="B22" s="101" t="s">
        <v>40</v>
      </c>
      <c r="C22" s="102"/>
      <c r="D22" s="102"/>
      <c r="E22" s="102"/>
      <c r="F22" s="103"/>
      <c r="G22" s="2"/>
      <c r="H22" s="2"/>
      <c r="I22" s="2"/>
    </row>
    <row r="23" spans="2:9" ht="15.75" thickBot="1" x14ac:dyDescent="0.3">
      <c r="B23" s="32" t="s">
        <v>41</v>
      </c>
      <c r="C23" s="18"/>
      <c r="D23" s="69">
        <f>B!D22</f>
        <v>45880</v>
      </c>
      <c r="E23" s="69">
        <f>B!E22</f>
        <v>45920</v>
      </c>
      <c r="F23" s="69">
        <f>B!F22</f>
        <v>45950</v>
      </c>
      <c r="G23" s="2"/>
      <c r="H23" s="2"/>
      <c r="I23" s="2"/>
    </row>
    <row r="24" spans="2:9" ht="29.25" thickBot="1" x14ac:dyDescent="0.3">
      <c r="B24" s="32" t="s">
        <v>42</v>
      </c>
      <c r="C24" s="18"/>
      <c r="D24" s="19">
        <f>B!D21</f>
        <v>94500</v>
      </c>
      <c r="E24" s="19">
        <f>B!E21</f>
        <v>94500</v>
      </c>
      <c r="F24" s="19">
        <f>B!F21</f>
        <v>94500</v>
      </c>
      <c r="G24" s="2"/>
      <c r="H24" s="2"/>
      <c r="I24" s="2"/>
    </row>
    <row r="25" spans="2:9" ht="15.75" thickBot="1" x14ac:dyDescent="0.3">
      <c r="B25" s="33" t="s">
        <v>43</v>
      </c>
      <c r="C25" s="20"/>
      <c r="D25" s="68">
        <f>$D$21-SUM($D$23:$D$24)</f>
        <v>138933.33333333337</v>
      </c>
      <c r="E25" s="68">
        <f>$E$21-SUM($E$23:$E$24)</f>
        <v>144103.33333333337</v>
      </c>
      <c r="F25" s="68">
        <f>$F$21-SUM($F$23:$F$24)</f>
        <v>149143.33333333337</v>
      </c>
      <c r="G25" s="2"/>
      <c r="H25" s="2"/>
      <c r="I25" s="2"/>
    </row>
    <row r="26" spans="2:9" ht="29.25" thickBot="1" x14ac:dyDescent="0.3">
      <c r="B26" s="33" t="s">
        <v>44</v>
      </c>
      <c r="C26" s="20"/>
      <c r="D26" s="68">
        <f>$D$21-SUM($D$23:$D$24)</f>
        <v>138933.33333333337</v>
      </c>
      <c r="E26" s="68">
        <f>$E$21-SUM($E$23:$E$24)</f>
        <v>144103.33333333337</v>
      </c>
      <c r="F26" s="68">
        <f>$F$21-SUM($F$23:$F$24)</f>
        <v>149143.33333333337</v>
      </c>
      <c r="G26" s="2"/>
      <c r="H26" s="2"/>
      <c r="I26" s="2"/>
    </row>
    <row r="27" spans="2:9" ht="29.25" thickBot="1" x14ac:dyDescent="0.3">
      <c r="B27" s="32" t="s">
        <v>45</v>
      </c>
      <c r="C27" s="18"/>
      <c r="D27" s="19">
        <f>D26*0.3</f>
        <v>41680.000000000007</v>
      </c>
      <c r="E27" s="19">
        <f>E26*0.3</f>
        <v>43231.000000000007</v>
      </c>
      <c r="F27" s="19">
        <f t="shared" ref="E27:F27" si="3">F26*0.3</f>
        <v>44743.000000000007</v>
      </c>
      <c r="G27" s="2"/>
      <c r="H27" s="2"/>
      <c r="I27" s="2"/>
    </row>
    <row r="28" spans="2:9" ht="15.75" thickBot="1" x14ac:dyDescent="0.3">
      <c r="B28" s="33" t="s">
        <v>46</v>
      </c>
      <c r="C28" s="20"/>
      <c r="D28" s="68">
        <f>$D$26-$D$27</f>
        <v>97253.333333333372</v>
      </c>
      <c r="E28" s="68">
        <f>$E$26-$E$27</f>
        <v>100872.33333333337</v>
      </c>
      <c r="F28" s="68">
        <f>$F$26-$F$27</f>
        <v>104400.33333333337</v>
      </c>
      <c r="G28" s="2"/>
      <c r="H28" s="2"/>
      <c r="I28" s="2"/>
    </row>
    <row r="29" spans="2:9" ht="15.75" thickBot="1" x14ac:dyDescent="0.3">
      <c r="B29" s="95" t="s">
        <v>47</v>
      </c>
      <c r="C29" s="96"/>
      <c r="D29" s="96"/>
      <c r="E29" s="96"/>
      <c r="F29" s="97"/>
      <c r="G29" s="2"/>
      <c r="H29" s="2"/>
      <c r="I29" s="2"/>
    </row>
    <row r="30" spans="2:9" ht="15.75" thickBot="1" x14ac:dyDescent="0.3">
      <c r="B30" s="32" t="s">
        <v>48</v>
      </c>
      <c r="C30" s="18"/>
      <c r="D30" s="66">
        <f>$D$26-$D$27</f>
        <v>97253.333333333372</v>
      </c>
      <c r="E30" s="66">
        <f>$E$26-$E$27</f>
        <v>100872.33333333337</v>
      </c>
      <c r="F30" s="66">
        <f>$F$26-$F$27</f>
        <v>104400.33333333337</v>
      </c>
      <c r="G30" s="2"/>
      <c r="H30" s="2"/>
      <c r="I30" s="2"/>
    </row>
    <row r="31" spans="2:9" ht="29.25" thickBot="1" x14ac:dyDescent="0.3">
      <c r="B31" s="32" t="s">
        <v>49</v>
      </c>
      <c r="C31" s="18"/>
      <c r="D31" s="66">
        <f>$C$3+$C$5</f>
        <v>12556.666666666668</v>
      </c>
      <c r="E31" s="66">
        <f t="shared" ref="E31:F31" si="4">$C$3+$C$5</f>
        <v>12556.666666666668</v>
      </c>
      <c r="F31" s="66">
        <f t="shared" si="4"/>
        <v>12556.666666666668</v>
      </c>
      <c r="G31" s="2"/>
      <c r="H31" s="2"/>
      <c r="I31" s="2"/>
    </row>
    <row r="32" spans="2:9" ht="15.75" thickBot="1" x14ac:dyDescent="0.3">
      <c r="B32" s="32" t="s">
        <v>50</v>
      </c>
      <c r="C32" s="69">
        <v>-81090</v>
      </c>
      <c r="D32" s="18">
        <v>0</v>
      </c>
      <c r="E32" s="18">
        <v>0</v>
      </c>
      <c r="F32" s="18">
        <v>0</v>
      </c>
      <c r="G32" s="2"/>
      <c r="H32" s="2"/>
      <c r="I32" s="2"/>
    </row>
    <row r="33" spans="1:14" ht="29.25" thickBot="1" x14ac:dyDescent="0.3">
      <c r="B33" s="32" t="s">
        <v>51</v>
      </c>
      <c r="C33" s="18"/>
      <c r="D33" s="18">
        <v>0</v>
      </c>
      <c r="E33" s="18">
        <v>0</v>
      </c>
      <c r="F33" s="19">
        <v>43420</v>
      </c>
      <c r="G33" s="2"/>
      <c r="H33" s="2"/>
      <c r="I33" s="2"/>
    </row>
    <row r="34" spans="1:14" ht="15.75" thickBot="1" x14ac:dyDescent="0.3">
      <c r="B34" s="33" t="s">
        <v>52</v>
      </c>
      <c r="C34" s="21">
        <f>C30+C31+C32+C33</f>
        <v>-81090</v>
      </c>
      <c r="D34" s="21">
        <f>D30+D31+D32+D33</f>
        <v>109810.00000000004</v>
      </c>
      <c r="E34" s="21">
        <f>E30+E31+E32+E33</f>
        <v>113429.00000000004</v>
      </c>
      <c r="F34" s="21">
        <f>F30+F31+F32+F33</f>
        <v>160377.00000000006</v>
      </c>
      <c r="G34" s="2"/>
      <c r="H34" s="2"/>
      <c r="I34" s="2"/>
    </row>
    <row r="37" spans="1:14" x14ac:dyDescent="0.25">
      <c r="A37" t="s">
        <v>87</v>
      </c>
    </row>
    <row r="38" spans="1:14" ht="15.75" thickBot="1" x14ac:dyDescent="0.3"/>
    <row r="39" spans="1:14" ht="15.75" thickBot="1" x14ac:dyDescent="0.3">
      <c r="B39" s="16" t="s">
        <v>8</v>
      </c>
      <c r="C39" s="57">
        <v>2018</v>
      </c>
      <c r="D39" s="57">
        <v>2019</v>
      </c>
      <c r="E39" s="57">
        <v>2020</v>
      </c>
      <c r="F39" s="57">
        <v>2021</v>
      </c>
      <c r="J39">
        <v>34400</v>
      </c>
      <c r="K39">
        <v>28765.37</v>
      </c>
    </row>
    <row r="40" spans="1:14" ht="29.25" thickBot="1" x14ac:dyDescent="0.3">
      <c r="B40" s="32" t="s">
        <v>95</v>
      </c>
      <c r="C40" s="84">
        <f>A!B11</f>
        <v>48900</v>
      </c>
      <c r="D40" s="84">
        <f>-A!D11</f>
        <v>-16300</v>
      </c>
      <c r="E40" s="84">
        <f>-A!D12</f>
        <v>-16300</v>
      </c>
      <c r="F40" s="84">
        <f>-A!D13</f>
        <v>-16300</v>
      </c>
      <c r="J40">
        <f>J39*0.3</f>
        <v>10320</v>
      </c>
      <c r="K40">
        <f>K39*0.3</f>
        <v>8629.610999999999</v>
      </c>
    </row>
    <row r="41" spans="1:14" ht="15.75" thickBot="1" x14ac:dyDescent="0.3">
      <c r="B41" s="32" t="s">
        <v>96</v>
      </c>
      <c r="C41" s="18"/>
      <c r="D41" s="84">
        <f>-A!C11</f>
        <v>-7335</v>
      </c>
      <c r="E41" s="84">
        <f>-A!C12</f>
        <v>-4890</v>
      </c>
      <c r="F41" s="84">
        <f>-A!C13</f>
        <v>-2445</v>
      </c>
    </row>
    <row r="42" spans="1:14" ht="29.25" thickBot="1" x14ac:dyDescent="0.3">
      <c r="A42" s="76">
        <v>0.3</v>
      </c>
      <c r="B42" s="32" t="s">
        <v>88</v>
      </c>
      <c r="C42" s="18"/>
      <c r="D42" s="84">
        <f>-$A$42*D41</f>
        <v>2200.5</v>
      </c>
      <c r="E42" s="84">
        <f>-$A$42*E41</f>
        <v>1467</v>
      </c>
      <c r="F42" s="84">
        <f>-$A$42*F41</f>
        <v>733.5</v>
      </c>
      <c r="J42" s="77">
        <v>0.03</v>
      </c>
      <c r="K42" t="s">
        <v>92</v>
      </c>
    </row>
    <row r="43" spans="1:14" ht="15.75" thickBot="1" x14ac:dyDescent="0.3">
      <c r="B43" s="32" t="s">
        <v>89</v>
      </c>
      <c r="C43" s="18"/>
      <c r="D43" s="84">
        <f>D40+D41+D42</f>
        <v>-21434.5</v>
      </c>
      <c r="E43" s="84">
        <f t="shared" ref="E43:F43" si="5">E40+E41+E42</f>
        <v>-19723</v>
      </c>
      <c r="F43" s="84">
        <f t="shared" si="5"/>
        <v>-18011.5</v>
      </c>
      <c r="J43" t="s">
        <v>93</v>
      </c>
    </row>
    <row r="44" spans="1:14" ht="15.75" thickBot="1" x14ac:dyDescent="0.3">
      <c r="B44" s="32" t="s">
        <v>90</v>
      </c>
      <c r="C44" s="18"/>
      <c r="D44" s="118">
        <f>K45</f>
        <v>1.03</v>
      </c>
      <c r="E44" s="118">
        <f t="shared" ref="E44:F44" si="6">L45</f>
        <v>1.0609</v>
      </c>
      <c r="F44" s="118">
        <f t="shared" si="6"/>
        <v>1.092727</v>
      </c>
      <c r="K44">
        <v>1</v>
      </c>
      <c r="L44">
        <v>2</v>
      </c>
      <c r="M44">
        <v>3</v>
      </c>
      <c r="N44">
        <v>4</v>
      </c>
    </row>
    <row r="45" spans="1:14" ht="29.25" thickBot="1" x14ac:dyDescent="0.3">
      <c r="B45" s="33" t="s">
        <v>91</v>
      </c>
      <c r="C45" s="84">
        <f>C40</f>
        <v>48900</v>
      </c>
      <c r="D45" s="84">
        <f>D43/D44</f>
        <v>-20810.194174757282</v>
      </c>
      <c r="E45" s="84">
        <f>E43/E44</f>
        <v>-18590.819115845039</v>
      </c>
      <c r="F45" s="84">
        <f>F43/F44</f>
        <v>-16483.073997439435</v>
      </c>
      <c r="K45" s="78">
        <f>(1+$J$42)^K44</f>
        <v>1.03</v>
      </c>
      <c r="L45" s="78">
        <f>(1+J42)^L44</f>
        <v>1.0609</v>
      </c>
      <c r="M45" s="78">
        <f>(1+$J$42)^M44</f>
        <v>1.092727</v>
      </c>
      <c r="N45" s="78">
        <f t="shared" ref="N45" si="7">(1+$J$42)^N44</f>
        <v>1.1255088099999999</v>
      </c>
    </row>
    <row r="49" spans="2:6" ht="15.75" thickBot="1" x14ac:dyDescent="0.3"/>
    <row r="50" spans="2:6" ht="15.75" thickBot="1" x14ac:dyDescent="0.3">
      <c r="B50" s="79" t="str">
        <f>B34</f>
        <v xml:space="preserve">FFN ECONÓMICO </v>
      </c>
      <c r="C50" s="80">
        <f>C34</f>
        <v>-81090</v>
      </c>
      <c r="D50" s="80">
        <f>D34</f>
        <v>109810.00000000004</v>
      </c>
      <c r="E50" s="80">
        <f>E34</f>
        <v>113429.00000000004</v>
      </c>
      <c r="F50" s="80">
        <f>F34</f>
        <v>160377.00000000006</v>
      </c>
    </row>
    <row r="51" spans="2:6" ht="29.25" thickBot="1" x14ac:dyDescent="0.3">
      <c r="B51" s="33" t="s">
        <v>91</v>
      </c>
      <c r="C51" s="81">
        <f>C45</f>
        <v>48900</v>
      </c>
      <c r="D51" s="83">
        <f>D45</f>
        <v>-20810.194174757282</v>
      </c>
      <c r="E51" s="82">
        <f t="shared" ref="D51:F51" si="8">E45</f>
        <v>-18590.819115845039</v>
      </c>
      <c r="F51" s="83">
        <f t="shared" si="8"/>
        <v>-16483.073997439435</v>
      </c>
    </row>
    <row r="52" spans="2:6" ht="15.75" thickBot="1" x14ac:dyDescent="0.3">
      <c r="B52" s="33" t="s">
        <v>94</v>
      </c>
      <c r="C52" s="80">
        <f>C50+C51</f>
        <v>-32190</v>
      </c>
      <c r="D52" s="80">
        <f>D50+D51</f>
        <v>88999.805825242758</v>
      </c>
      <c r="E52" s="80">
        <f>E50+E51</f>
        <v>94838.180884155008</v>
      </c>
      <c r="F52" s="80">
        <f>F50+F51</f>
        <v>143893.92600256062</v>
      </c>
    </row>
  </sheetData>
  <mergeCells count="4">
    <mergeCell ref="B11:F11"/>
    <mergeCell ref="B13:F13"/>
    <mergeCell ref="B22:F22"/>
    <mergeCell ref="B29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zoomScaleNormal="100" workbookViewId="0">
      <selection activeCell="N21" sqref="N21"/>
    </sheetView>
  </sheetViews>
  <sheetFormatPr baseColWidth="10" defaultRowHeight="15" x14ac:dyDescent="0.25"/>
  <cols>
    <col min="3" max="3" width="27.5703125" customWidth="1"/>
    <col min="5" max="5" width="17.28515625" bestFit="1" customWidth="1"/>
    <col min="6" max="6" width="17.7109375" customWidth="1"/>
    <col min="8" max="8" width="14.85546875" customWidth="1"/>
    <col min="10" max="10" width="29.28515625" customWidth="1"/>
    <col min="11" max="11" width="16.42578125" customWidth="1"/>
  </cols>
  <sheetData>
    <row r="1" spans="1:14" x14ac:dyDescent="0.25">
      <c r="A1" s="1" t="s">
        <v>54</v>
      </c>
    </row>
    <row r="4" spans="1:14" ht="15.75" thickBot="1" x14ac:dyDescent="0.3">
      <c r="C4" s="1" t="s">
        <v>67</v>
      </c>
      <c r="J4" s="1" t="s">
        <v>53</v>
      </c>
    </row>
    <row r="5" spans="1:14" ht="15.75" thickBot="1" x14ac:dyDescent="0.3">
      <c r="C5" s="23" t="s">
        <v>8</v>
      </c>
      <c r="D5" s="24">
        <v>2018</v>
      </c>
      <c r="E5" s="24">
        <v>2019</v>
      </c>
      <c r="F5" s="24">
        <v>2020</v>
      </c>
      <c r="G5" s="24">
        <v>2021</v>
      </c>
      <c r="H5" s="24" t="s">
        <v>55</v>
      </c>
      <c r="J5" s="38"/>
      <c r="K5" s="54">
        <v>2014</v>
      </c>
      <c r="L5" s="55">
        <v>2015</v>
      </c>
      <c r="M5" s="55">
        <v>2016</v>
      </c>
      <c r="N5" s="55">
        <v>2017</v>
      </c>
    </row>
    <row r="6" spans="1:14" ht="15.75" thickBot="1" x14ac:dyDescent="0.3">
      <c r="C6" s="104" t="s">
        <v>33</v>
      </c>
      <c r="D6" s="105"/>
      <c r="E6" s="105"/>
      <c r="F6" s="105"/>
      <c r="G6" s="105"/>
      <c r="H6" s="106"/>
      <c r="J6" s="39" t="s">
        <v>68</v>
      </c>
      <c r="K6" s="50">
        <f>SUM(K8:K13)</f>
        <v>81090</v>
      </c>
      <c r="L6" s="50">
        <f>SUM(L8:L13)</f>
        <v>156908.8333333334</v>
      </c>
      <c r="M6" s="50">
        <f>SUM(M8:M13)</f>
        <v>238058.16666666677</v>
      </c>
      <c r="N6" s="50">
        <f>SUM(N8:N13)</f>
        <v>324447.00000000012</v>
      </c>
    </row>
    <row r="7" spans="1:14" ht="15.75" thickBot="1" x14ac:dyDescent="0.3">
      <c r="C7" s="42" t="s">
        <v>9</v>
      </c>
      <c r="D7" s="46"/>
      <c r="E7" s="47">
        <f>'C'!D12</f>
        <v>406970</v>
      </c>
      <c r="F7" s="47">
        <v>412700</v>
      </c>
      <c r="G7" s="47">
        <v>418430</v>
      </c>
      <c r="H7" s="44"/>
      <c r="J7" s="40" t="s">
        <v>69</v>
      </c>
      <c r="K7" s="51"/>
      <c r="L7" s="52"/>
      <c r="M7" s="51"/>
      <c r="N7" s="51"/>
    </row>
    <row r="8" spans="1:14" ht="15.75" thickBot="1" x14ac:dyDescent="0.3">
      <c r="C8" s="107" t="s">
        <v>56</v>
      </c>
      <c r="D8" s="108"/>
      <c r="E8" s="108"/>
      <c r="F8" s="108"/>
      <c r="G8" s="108"/>
      <c r="H8" s="109"/>
      <c r="J8" s="41" t="s">
        <v>70</v>
      </c>
      <c r="K8" s="53">
        <v>0</v>
      </c>
      <c r="L8" s="53">
        <f>E26</f>
        <v>88375.500000000044</v>
      </c>
      <c r="M8" s="53">
        <f>E26+F26</f>
        <v>182081.50000000009</v>
      </c>
      <c r="N8" s="53">
        <f>E26+F26+G26</f>
        <v>281027.00000000012</v>
      </c>
    </row>
    <row r="9" spans="1:14" ht="15.75" thickBot="1" x14ac:dyDescent="0.3">
      <c r="C9" s="42" t="s">
        <v>57</v>
      </c>
      <c r="D9" s="46"/>
      <c r="E9" s="70">
        <f>SUM('C'!D14:D20)</f>
        <v>127656.66666666666</v>
      </c>
      <c r="F9" s="70">
        <f>SUM('C'!E14:E20)</f>
        <v>128176.66666666666</v>
      </c>
      <c r="G9" s="70">
        <f>SUM('C'!F14:F20)</f>
        <v>128836.66666666666</v>
      </c>
      <c r="H9" s="44"/>
      <c r="J9" s="41" t="s">
        <v>71</v>
      </c>
      <c r="K9" s="53">
        <f>$D$34</f>
        <v>43420</v>
      </c>
      <c r="L9" s="53">
        <f t="shared" ref="L9:N9" si="0">$D$34</f>
        <v>43420</v>
      </c>
      <c r="M9" s="53">
        <f t="shared" si="0"/>
        <v>43420</v>
      </c>
      <c r="N9" s="53">
        <f t="shared" si="0"/>
        <v>43420</v>
      </c>
    </row>
    <row r="10" spans="1:14" ht="15.75" thickBot="1" x14ac:dyDescent="0.3">
      <c r="C10" s="48" t="s">
        <v>39</v>
      </c>
      <c r="D10" s="48"/>
      <c r="E10" s="71">
        <f>E7-E9</f>
        <v>279313.33333333337</v>
      </c>
      <c r="F10" s="71">
        <f>F7-F9</f>
        <v>284523.33333333337</v>
      </c>
      <c r="G10" s="71">
        <f>G7-G9</f>
        <v>289593.33333333337</v>
      </c>
      <c r="H10" s="44"/>
      <c r="J10" s="40" t="s">
        <v>72</v>
      </c>
      <c r="K10" s="51"/>
      <c r="L10" s="51"/>
      <c r="M10" s="51"/>
      <c r="N10" s="51"/>
    </row>
    <row r="11" spans="1:14" ht="15.75" thickBot="1" x14ac:dyDescent="0.3">
      <c r="C11" s="107" t="s">
        <v>19</v>
      </c>
      <c r="D11" s="108"/>
      <c r="E11" s="108"/>
      <c r="F11" s="108"/>
      <c r="G11" s="108"/>
      <c r="H11" s="109"/>
      <c r="J11" s="41" t="s">
        <v>73</v>
      </c>
      <c r="K11" s="53">
        <f>$D$32</f>
        <v>34300</v>
      </c>
      <c r="L11" s="53">
        <f t="shared" ref="L11:N11" si="1">$D$32</f>
        <v>34300</v>
      </c>
      <c r="M11" s="53">
        <f t="shared" si="1"/>
        <v>34300</v>
      </c>
      <c r="N11" s="53">
        <f t="shared" si="1"/>
        <v>34300</v>
      </c>
    </row>
    <row r="12" spans="1:14" ht="15.75" thickBot="1" x14ac:dyDescent="0.3">
      <c r="C12" s="42" t="s">
        <v>42</v>
      </c>
      <c r="D12" s="46"/>
      <c r="E12" s="47">
        <v>94500</v>
      </c>
      <c r="F12" s="47">
        <v>94500</v>
      </c>
      <c r="G12" s="47">
        <v>94500</v>
      </c>
      <c r="H12" s="44"/>
      <c r="J12" s="41" t="s">
        <v>74</v>
      </c>
      <c r="K12" s="51">
        <f>$D$33</f>
        <v>3370</v>
      </c>
      <c r="L12" s="51">
        <f t="shared" ref="L12:N12" si="2">$D$33</f>
        <v>3370</v>
      </c>
      <c r="M12" s="51">
        <f t="shared" si="2"/>
        <v>3370</v>
      </c>
      <c r="N12" s="51">
        <f t="shared" si="2"/>
        <v>3370</v>
      </c>
    </row>
    <row r="13" spans="1:14" ht="15.75" thickBot="1" x14ac:dyDescent="0.3">
      <c r="C13" s="42" t="s">
        <v>58</v>
      </c>
      <c r="D13" s="46"/>
      <c r="E13" s="121">
        <v>45880</v>
      </c>
      <c r="F13" s="121">
        <v>45920</v>
      </c>
      <c r="G13" s="121">
        <v>45950</v>
      </c>
      <c r="H13" s="44"/>
      <c r="J13" s="41" t="s">
        <v>75</v>
      </c>
      <c r="K13" s="51">
        <v>0</v>
      </c>
      <c r="L13" s="53">
        <f>-E21</f>
        <v>-12556.666666666668</v>
      </c>
      <c r="M13" s="53">
        <f>-(E21+F21)</f>
        <v>-25113.333333333336</v>
      </c>
      <c r="N13" s="53">
        <f>-SUM(E21:G21)</f>
        <v>-37670</v>
      </c>
    </row>
    <row r="14" spans="1:14" ht="15.75" thickBot="1" x14ac:dyDescent="0.3">
      <c r="C14" s="49" t="s">
        <v>43</v>
      </c>
      <c r="D14" s="48"/>
      <c r="E14" s="122">
        <f>E10-SUM(E12:E13)</f>
        <v>138933.33333333337</v>
      </c>
      <c r="F14" s="122">
        <f t="shared" ref="F14:G14" si="3">F10-SUM(F12:F13)</f>
        <v>144103.33333333337</v>
      </c>
      <c r="G14" s="122">
        <f t="shared" si="3"/>
        <v>149143.33333333337</v>
      </c>
      <c r="H14" s="44"/>
      <c r="J14" s="22" t="s">
        <v>76</v>
      </c>
      <c r="K14" s="27">
        <f>SUM(K15:K18)</f>
        <v>81090</v>
      </c>
      <c r="L14" s="27">
        <f t="shared" ref="L14:N14" si="4">SUM(L15:L18)</f>
        <v>156908.83333333337</v>
      </c>
      <c r="M14" s="27">
        <f>SUM(M15:M18)</f>
        <v>238058.16666666674</v>
      </c>
      <c r="N14" s="27">
        <f t="shared" si="4"/>
        <v>324447.00000000012</v>
      </c>
    </row>
    <row r="15" spans="1:14" ht="15.75" thickBot="1" x14ac:dyDescent="0.3">
      <c r="C15" s="42" t="s">
        <v>22</v>
      </c>
      <c r="D15" s="46"/>
      <c r="E15" s="123">
        <f>A!C11</f>
        <v>7335</v>
      </c>
      <c r="F15" s="123">
        <f>A!C12</f>
        <v>4890</v>
      </c>
      <c r="G15" s="123">
        <f>A!C13</f>
        <v>2445</v>
      </c>
      <c r="H15" s="44"/>
      <c r="J15" s="41" t="s">
        <v>77</v>
      </c>
      <c r="K15" s="53">
        <f>D39</f>
        <v>48900</v>
      </c>
      <c r="L15" s="53">
        <f>K15-A!D11</f>
        <v>32600</v>
      </c>
      <c r="M15" s="53">
        <f>L15-A!D12</f>
        <v>16300</v>
      </c>
      <c r="N15" s="53">
        <f>M15-A!D13</f>
        <v>0</v>
      </c>
    </row>
    <row r="16" spans="1:14" ht="29.25" thickBot="1" x14ac:dyDescent="0.3">
      <c r="C16" s="49" t="s">
        <v>44</v>
      </c>
      <c r="D16" s="48"/>
      <c r="E16" s="71">
        <f>E14-E15</f>
        <v>131598.33333333337</v>
      </c>
      <c r="F16" s="71">
        <f t="shared" ref="F16:G16" si="5">F14-F15</f>
        <v>139213.33333333337</v>
      </c>
      <c r="G16" s="71">
        <f t="shared" si="5"/>
        <v>146698.33333333337</v>
      </c>
      <c r="H16" s="44"/>
      <c r="J16" s="40" t="s">
        <v>78</v>
      </c>
      <c r="K16" s="51"/>
      <c r="L16" s="51"/>
      <c r="M16" s="51"/>
      <c r="N16" s="51"/>
    </row>
    <row r="17" spans="3:14" ht="15.75" thickBot="1" x14ac:dyDescent="0.3">
      <c r="C17" s="42" t="s">
        <v>59</v>
      </c>
      <c r="D17" s="46"/>
      <c r="E17" s="47">
        <f>0.3*E16</f>
        <v>39479.500000000007</v>
      </c>
      <c r="F17" s="47">
        <f>0.3*F16</f>
        <v>41764.000000000007</v>
      </c>
      <c r="G17" s="47">
        <f>0.3*G16</f>
        <v>44009.500000000007</v>
      </c>
      <c r="H17" s="44"/>
      <c r="J17" s="41" t="s">
        <v>79</v>
      </c>
      <c r="K17" s="53">
        <f>$D$38</f>
        <v>32190</v>
      </c>
      <c r="L17" s="53">
        <f>$D$38</f>
        <v>32190</v>
      </c>
      <c r="M17" s="53">
        <f t="shared" ref="L17:N17" si="6">$D$38</f>
        <v>32190</v>
      </c>
      <c r="N17" s="53">
        <f t="shared" si="6"/>
        <v>32190</v>
      </c>
    </row>
    <row r="18" spans="3:14" ht="15.75" thickBot="1" x14ac:dyDescent="0.3">
      <c r="C18" s="49" t="s">
        <v>25</v>
      </c>
      <c r="D18" s="48"/>
      <c r="E18" s="71">
        <f>$E$16-$E$17</f>
        <v>92118.833333333372</v>
      </c>
      <c r="F18" s="71">
        <f>$F$16-$F$17</f>
        <v>97449.333333333372</v>
      </c>
      <c r="G18" s="71">
        <f>$G$16-$G$17</f>
        <v>102688.83333333337</v>
      </c>
      <c r="H18" s="44"/>
      <c r="J18" s="41" t="s">
        <v>80</v>
      </c>
      <c r="K18" s="51" t="s">
        <v>81</v>
      </c>
      <c r="L18" s="53">
        <f>E18</f>
        <v>92118.833333333372</v>
      </c>
      <c r="M18" s="53">
        <f>E18+F18</f>
        <v>189568.16666666674</v>
      </c>
      <c r="N18" s="53">
        <f>E18+F18+G18</f>
        <v>292257.00000000012</v>
      </c>
    </row>
    <row r="19" spans="3:14" ht="15.75" thickBot="1" x14ac:dyDescent="0.3">
      <c r="C19" s="110" t="s">
        <v>47</v>
      </c>
      <c r="D19" s="111"/>
      <c r="E19" s="111"/>
      <c r="F19" s="111"/>
      <c r="G19" s="111"/>
      <c r="H19" s="112"/>
      <c r="M19" s="119"/>
      <c r="N19" s="119"/>
    </row>
    <row r="20" spans="3:14" ht="15.75" thickBot="1" x14ac:dyDescent="0.3">
      <c r="C20" s="42" t="s">
        <v>60</v>
      </c>
      <c r="D20" s="43"/>
      <c r="E20" s="72">
        <f>$E$16-$E$17</f>
        <v>92118.833333333372</v>
      </c>
      <c r="F20" s="72">
        <f>$F$16-$F$17</f>
        <v>97449.333333333372</v>
      </c>
      <c r="G20" s="72">
        <f>$G$16-$G$17</f>
        <v>102688.83333333337</v>
      </c>
      <c r="H20" s="44"/>
      <c r="M20" s="120"/>
      <c r="N20" s="120"/>
    </row>
    <row r="21" spans="3:14" ht="29.25" thickBot="1" x14ac:dyDescent="0.3">
      <c r="C21" s="29" t="s">
        <v>61</v>
      </c>
      <c r="D21" s="25"/>
      <c r="E21" s="73">
        <f>'C'!D31</f>
        <v>12556.666666666668</v>
      </c>
      <c r="F21" s="73">
        <f>'C'!E31</f>
        <v>12556.666666666668</v>
      </c>
      <c r="G21" s="73">
        <f>'C'!F31</f>
        <v>12556.666666666668</v>
      </c>
      <c r="H21" s="44"/>
      <c r="K21" s="2">
        <f>K6-K14</f>
        <v>0</v>
      </c>
      <c r="L21" s="2">
        <f>L6-L14</f>
        <v>0</v>
      </c>
      <c r="M21" s="2">
        <f t="shared" ref="L21:N21" si="7">M6-M14</f>
        <v>0</v>
      </c>
      <c r="N21" s="2">
        <f t="shared" si="7"/>
        <v>0</v>
      </c>
    </row>
    <row r="22" spans="3:14" ht="15.75" thickBot="1" x14ac:dyDescent="0.3">
      <c r="C22" s="29" t="s">
        <v>62</v>
      </c>
      <c r="D22" s="26">
        <f>-D35</f>
        <v>-81090</v>
      </c>
      <c r="E22" s="25"/>
      <c r="F22" s="25"/>
      <c r="G22" s="25"/>
      <c r="H22" s="44"/>
    </row>
    <row r="23" spans="3:14" ht="15.75" thickBot="1" x14ac:dyDescent="0.3">
      <c r="C23" s="29" t="s">
        <v>63</v>
      </c>
      <c r="D23" s="25"/>
      <c r="E23" s="25"/>
      <c r="F23" s="25"/>
      <c r="G23" s="25"/>
      <c r="H23" s="44"/>
    </row>
    <row r="24" spans="3:14" ht="15.75" thickBot="1" x14ac:dyDescent="0.3">
      <c r="C24" s="29" t="s">
        <v>64</v>
      </c>
      <c r="D24" s="25"/>
      <c r="E24" s="25"/>
      <c r="F24" s="25"/>
      <c r="G24" s="25"/>
      <c r="H24" s="45">
        <v>43420</v>
      </c>
    </row>
    <row r="25" spans="3:14" ht="15.75" thickBot="1" x14ac:dyDescent="0.3">
      <c r="C25" s="29" t="s">
        <v>65</v>
      </c>
      <c r="D25" s="26">
        <f>A!B11</f>
        <v>48900</v>
      </c>
      <c r="E25" s="26">
        <v>-16300</v>
      </c>
      <c r="F25" s="26">
        <v>-16300</v>
      </c>
      <c r="G25" s="26">
        <v>-16300</v>
      </c>
      <c r="H25" s="46"/>
    </row>
    <row r="26" spans="3:14" ht="15.75" thickBot="1" x14ac:dyDescent="0.3">
      <c r="C26" s="30" t="s">
        <v>66</v>
      </c>
      <c r="D26" s="27">
        <f>SUM(D20:D25)</f>
        <v>-32190</v>
      </c>
      <c r="E26" s="28">
        <f>SUM(E20:E25)</f>
        <v>88375.500000000044</v>
      </c>
      <c r="F26" s="28">
        <f>SUM(F20:F25)</f>
        <v>93706.000000000044</v>
      </c>
      <c r="G26" s="28">
        <f>SUM(G20:G25)</f>
        <v>98945.500000000044</v>
      </c>
      <c r="H26" s="28">
        <f>SUM(H20:H25)</f>
        <v>43420</v>
      </c>
    </row>
    <row r="27" spans="3:14" x14ac:dyDescent="0.25">
      <c r="C27" s="31"/>
    </row>
    <row r="28" spans="3:14" x14ac:dyDescent="0.25">
      <c r="C28" s="31"/>
    </row>
    <row r="29" spans="3:14" x14ac:dyDescent="0.25">
      <c r="C29" s="31"/>
    </row>
    <row r="32" spans="3:14" x14ac:dyDescent="0.25">
      <c r="C32" t="s">
        <v>73</v>
      </c>
      <c r="D32" s="58">
        <v>34300</v>
      </c>
    </row>
    <row r="33" spans="3:5" x14ac:dyDescent="0.25">
      <c r="C33" t="s">
        <v>74</v>
      </c>
      <c r="D33" s="58">
        <v>3370</v>
      </c>
    </row>
    <row r="34" spans="3:5" x14ac:dyDescent="0.25">
      <c r="C34" t="s">
        <v>97</v>
      </c>
      <c r="D34" s="58">
        <v>43420</v>
      </c>
    </row>
    <row r="35" spans="3:5" x14ac:dyDescent="0.25">
      <c r="C35" s="1" t="s">
        <v>98</v>
      </c>
      <c r="D35" s="63">
        <f>SUM(D32:D34)</f>
        <v>81090</v>
      </c>
    </row>
    <row r="38" spans="3:5" x14ac:dyDescent="0.25">
      <c r="C38" t="s">
        <v>99</v>
      </c>
      <c r="D38" s="58">
        <v>32190</v>
      </c>
      <c r="E38" s="113">
        <f>D38/D40</f>
        <v>0.39696633370329265</v>
      </c>
    </row>
    <row r="39" spans="3:5" x14ac:dyDescent="0.25">
      <c r="C39" t="s">
        <v>100</v>
      </c>
      <c r="D39" s="58">
        <v>48900</v>
      </c>
      <c r="E39" s="113">
        <f>D39/D40</f>
        <v>0.6030336662967074</v>
      </c>
    </row>
    <row r="40" spans="3:5" x14ac:dyDescent="0.25">
      <c r="C40" s="1"/>
      <c r="D40" s="63">
        <f>D38+D39</f>
        <v>81090</v>
      </c>
      <c r="E40" s="58"/>
    </row>
  </sheetData>
  <mergeCells count="4">
    <mergeCell ref="C6:H6"/>
    <mergeCell ref="C8:H8"/>
    <mergeCell ref="C11:H11"/>
    <mergeCell ref="C19:H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</dc:creator>
  <cp:lastModifiedBy>Luis</cp:lastModifiedBy>
  <dcterms:created xsi:type="dcterms:W3CDTF">2018-05-21T19:08:18Z</dcterms:created>
  <dcterms:modified xsi:type="dcterms:W3CDTF">2018-06-04T16:32:00Z</dcterms:modified>
</cp:coreProperties>
</file>