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PAQUETE 1 LIBRO 2018\24 ENGIE ENERGÍA PERÚ\"/>
    </mc:Choice>
  </mc:AlternateContent>
  <bookViews>
    <workbookView xWindow="0" yWindow="1200" windowWidth="24000" windowHeight="9435" firstSheet="4" activeTab="9"/>
  </bookViews>
  <sheets>
    <sheet name="Ingresos" sheetId="1" r:id="rId1"/>
    <sheet name="C. variables y otros" sheetId="2" r:id="rId2"/>
    <sheet name="Cap. de Trab." sheetId="3" r:id="rId3"/>
    <sheet name="Inv. y Dep." sheetId="4" r:id="rId4"/>
    <sheet name="Financiación " sheetId="5" r:id="rId5"/>
    <sheet name="P y G" sheetId="12" r:id="rId6"/>
    <sheet name="WACC" sheetId="7" r:id="rId7"/>
    <sheet name="NUEVO WACC" sheetId="19" r:id="rId8"/>
    <sheet name="FCE" sheetId="13" r:id="rId9"/>
    <sheet name="FFF" sheetId="14" r:id="rId10"/>
    <sheet name="Indicadores" sheetId="10" r:id="rId11"/>
    <sheet name="Sensibilidad" sheetId="11" r:id="rId12"/>
    <sheet name="Balance del proyecto" sheetId="16" r:id="rId13"/>
    <sheet name="CB_DATA_" sheetId="18" state="veryHidden" r:id="rId14"/>
    <sheet name="CRYSTAL BALL" sheetId="17" r:id="rId15"/>
  </sheets>
  <definedNames>
    <definedName name="CB_0acacbd639f94f6097d09625c079f873" localSheetId="14" hidden="1">'CRYSTAL BALL'!$AF$49</definedName>
    <definedName name="CB_16848afe343b454b945d53cd442739fd" localSheetId="14" hidden="1">'CRYSTAL BALL'!$AD$35</definedName>
    <definedName name="CB_1cc3b5444d4842a39781ce1202dd062c" localSheetId="14" hidden="1">'CRYSTAL BALL'!$U$35</definedName>
    <definedName name="CB_20c5d586824e44cc8c75ca2510674e82" localSheetId="14" hidden="1">'CRYSTAL BALL'!$N$6</definedName>
    <definedName name="CB_2792aadd0a814ac79204d3c0108a7357" localSheetId="14" hidden="1">'CRYSTAL BALL'!$AG$49</definedName>
    <definedName name="CB_3bc3e7422655427b93ce66b00f05fcd4" localSheetId="14" hidden="1">'CRYSTAL BALL'!$U$49</definedName>
    <definedName name="CB_41fb0d6e59934b0a9926346c27744943" localSheetId="14" hidden="1">'CRYSTAL BALL'!$Z$35</definedName>
    <definedName name="CB_43a5f0083a9b4187a7f2766f25fd99d5" localSheetId="14" hidden="1">'CRYSTAL BALL'!$Q$35</definedName>
    <definedName name="CB_4af29bb0cc474d039b8e205a55d6d435" localSheetId="14" hidden="1">'CRYSTAL BALL'!$W$49</definedName>
    <definedName name="CB_4b0a75d2b3de448a923a4c84d91a5353" localSheetId="14" hidden="1">'CRYSTAL BALL'!$R$35</definedName>
    <definedName name="CB_4c3b855a84524653a2bdc06ce66628ab" localSheetId="14" hidden="1">'CRYSTAL BALL'!$W$35</definedName>
    <definedName name="CB_4d858ca5288742179be8112039a19b6b" localSheetId="14" hidden="1">'CRYSTAL BALL'!$AF$35</definedName>
    <definedName name="CB_5176dae957754140a4132b98a0f01655" localSheetId="14" hidden="1">'CRYSTAL BALL'!$Q$49</definedName>
    <definedName name="CB_5582a294326b45f69cb29ad5d2e2a293" localSheetId="14" hidden="1">'CRYSTAL BALL'!$N$35</definedName>
    <definedName name="CB_55a5c273ffef4ab58982833de2b329be" localSheetId="14" hidden="1">'CRYSTAL BALL'!$AD$49</definedName>
    <definedName name="CB_5ae7dbabf900430c912e44a7bfbd64f9" localSheetId="14" hidden="1">'CRYSTAL BALL'!$O$49</definedName>
    <definedName name="CB_5bd53058eb734beeb09f0fa5dfc8ed2e" localSheetId="14" hidden="1">'CRYSTAL BALL'!$X$49</definedName>
    <definedName name="CB_63d35fd892d84287933ba919e159bfc8" localSheetId="14" hidden="1">'CRYSTAL BALL'!$M$55</definedName>
    <definedName name="CB_67b90d18439b4a37871113f528415a57" localSheetId="14" hidden="1">'CRYSTAL BALL'!$AB$49</definedName>
    <definedName name="CB_67ec3af6e0ba42b7b4b42a35e26c229f" localSheetId="14" hidden="1">'CRYSTAL BALL'!$X$35</definedName>
    <definedName name="CB_6e510bf86f97424397d653f06dfc8f37" localSheetId="14" hidden="1">'CRYSTAL BALL'!$N$5</definedName>
    <definedName name="CB_87aa3fe0ea09406c83f83ad06682eca5" localSheetId="14" hidden="1">'CRYSTAL BALL'!$Y$35</definedName>
    <definedName name="CB_8ad6cd6e03b042d496ebb87dadba5f76" localSheetId="14" hidden="1">'CRYSTAL BALL'!$AC$35</definedName>
    <definedName name="CB_8b03b04e24034fbe86d42ac89157ca69" localSheetId="14" hidden="1">'CRYSTAL BALL'!$AC$49</definedName>
    <definedName name="CB_8cdb4342ae9b4edabb45367ac271e85c" localSheetId="14" hidden="1">'CRYSTAL BALL'!$V$35</definedName>
    <definedName name="CB_8d065ae5728e4df1b567dd28c38a44de" localSheetId="14" hidden="1">'CRYSTAL BALL'!$Z$49</definedName>
    <definedName name="CB_8e0b72e58aad43f98eab8b7d871723d7" localSheetId="14" hidden="1">'CRYSTAL BALL'!$S$35</definedName>
    <definedName name="CB_9392fe35c6a34ffaabd15e74f4b58198" localSheetId="14" hidden="1">'CRYSTAL BALL'!$AA$35</definedName>
    <definedName name="CB_93ade2486db943229c9c3e35ff0a01d8" localSheetId="14" hidden="1">'CRYSTAL BALL'!$N$49</definedName>
    <definedName name="CB_967d344e93284f08a36b483efdb5f038" localSheetId="14" hidden="1">'CRYSTAL BALL'!$N$8</definedName>
    <definedName name="CB_98466b435db8421da123a27b7567fae3" localSheetId="14" hidden="1">'CRYSTAL BALL'!$P$49</definedName>
    <definedName name="CB_9aeede44a84340e199360f18cf575fdf" localSheetId="14" hidden="1">'CRYSTAL BALL'!$T$35</definedName>
    <definedName name="CB_9bda760072024e11abf691d3005c0140" localSheetId="14" hidden="1">'CRYSTAL BALL'!$N$9</definedName>
    <definedName name="CB_a8706e5c86154a708daf5518221077e5" localSheetId="14" hidden="1">'CRYSTAL BALL'!$S$49</definedName>
    <definedName name="CB_Block_00000000000000000000000000000000" localSheetId="14" hidden="1">"'7.0.0.0"</definedName>
    <definedName name="CB_Block_00000000000000000000000000000001" localSheetId="13" hidden="1">"'635901164400637310"</definedName>
    <definedName name="CB_Block_00000000000000000000000000000001" localSheetId="14" hidden="1">"'635901164401261311"</definedName>
    <definedName name="CB_Block_00000000000000000000000000000003" localSheetId="14" hidden="1">"'11.1.4512.0"</definedName>
    <definedName name="CB_BlockExt_00000000000000000000000000000003" localSheetId="14" hidden="1">"'11.1.2.4.600"</definedName>
    <definedName name="CB_cb7f5a7b33c946ac93493fbb987fb5af" localSheetId="14" hidden="1">'CRYSTAL BALL'!$AE$35</definedName>
    <definedName name="CB_d293941987504238af1cde7972de9b93" localSheetId="14" hidden="1">'CRYSTAL BALL'!$AB$35</definedName>
    <definedName name="CB_dba4cd5583584756827e07a1deef321f" localSheetId="14" hidden="1">'CRYSTAL BALL'!$AE$49</definedName>
    <definedName name="CB_dca7a7eeea1049f3a0cb3783571eb1e7" localSheetId="14" hidden="1">'CRYSTAL BALL'!$N$7</definedName>
    <definedName name="CB_dcab0e2df8bd47a6b7d743ecbae43296" localSheetId="14" hidden="1">'CRYSTAL BALL'!$R$49</definedName>
    <definedName name="CB_e03c8b673f414be490b832b90f8e8aaa" localSheetId="14" hidden="1">'CRYSTAL BALL'!$AG$35</definedName>
    <definedName name="CB_e3bf980b8b0947b6832dc18f5831b53f" localSheetId="14" hidden="1">'CRYSTAL BALL'!$AA$49</definedName>
    <definedName name="CB_e6e2c8963c2b4249bc4294bf72f9b6a3" localSheetId="14" hidden="1">'CRYSTAL BALL'!$O$35</definedName>
    <definedName name="CB_e819b9e79fde41949c0ba7e75084f989" localSheetId="14" hidden="1">'CRYSTAL BALL'!$Y$49</definedName>
    <definedName name="CB_eb13e226e7e44f7ea71774f601b4d87b" localSheetId="14" hidden="1">'CRYSTAL BALL'!$P$35</definedName>
    <definedName name="CB_f15f6f961ea14f1f97059c3cbd6415ad" localSheetId="14" hidden="1">'CRYSTAL BALL'!$M$49</definedName>
    <definedName name="CB_f8a797c8ab9b44cb925c89ce1be5bf0e" localSheetId="14" hidden="1">'CRYSTAL BALL'!$V$49</definedName>
    <definedName name="CB_f9fb7e762bd74d7db60b12f39549e0f6" localSheetId="14" hidden="1">'CRYSTAL BALL'!$T$49</definedName>
    <definedName name="CBCR_05f36e8085b5446798f628e459ba9a63" localSheetId="14" hidden="1">'CRYSTAL BALL'!$U$17</definedName>
    <definedName name="CBCR_08342a51ef604c95a46065f5537ada92" localSheetId="14" hidden="1">'CRYSTAL BALL'!$Q$41</definedName>
    <definedName name="CBCR_0d755176567d43e6a4a4662fd5257c2c" localSheetId="14" hidden="1">'CRYSTAL BALL'!$E$52</definedName>
    <definedName name="CBCR_0d7e7318a4f54454822caaeea9f343f1" localSheetId="14" hidden="1">'CRYSTAL BALL'!$C$9</definedName>
    <definedName name="CBCR_18378d1a0d2d475ea1b2e577d9f7541a" localSheetId="14" hidden="1">'CRYSTAL BALL'!$C$31</definedName>
    <definedName name="CBCR_19a5cbaf1f7a49ad8fa114be302321bc" localSheetId="14" hidden="1">'CRYSTAL BALL'!$O$41</definedName>
    <definedName name="CBCR_1a20aba27d4a4c4ea1da10ac5e0b7e8c" localSheetId="14" hidden="1">'CRYSTAL BALL'!$N$41</definedName>
    <definedName name="CBCR_1cd2692f9c8445e4a0b2253bce1b18c7" localSheetId="14" hidden="1">'CRYSTAL BALL'!$E$21</definedName>
    <definedName name="CBCR_1d3698d8f9e14d159d57a101ab23dca5" localSheetId="14" hidden="1">'CRYSTAL BALL'!$E$41</definedName>
    <definedName name="CBCR_2364d956e6fe469fb673ae15deb292cb" localSheetId="14" hidden="1">'CRYSTAL BALL'!$Z$41</definedName>
    <definedName name="CBCR_2adb33a1c47c49f5bf8c12c2f4054bc2" localSheetId="14" hidden="1">'CRYSTAL BALL'!$AE$41</definedName>
    <definedName name="CBCR_2fc4978003f94ba495f21259851a47bb" localSheetId="14" hidden="1">'CRYSTAL BALL'!$D$21</definedName>
    <definedName name="CBCR_319903fb6ffc44efb144809ec871b63a" localSheetId="14" hidden="1">'CRYSTAL BALL'!$N$17</definedName>
    <definedName name="CBCR_36b0a2dd9cca4605a7bd5355b0c504a0" localSheetId="14" hidden="1">'CRYSTAL BALL'!$D$9</definedName>
    <definedName name="CBCR_3a0a8d2d30db42dda60090b7f4ff8dd4" localSheetId="14" hidden="1">'CRYSTAL BALL'!$AF$41</definedName>
    <definedName name="CBCR_3dd41b52a26346948c187cc923995755" localSheetId="14" hidden="1">'CRYSTAL BALL'!$T$41</definedName>
    <definedName name="CBCR_416e42f1b3a1486692b5980fd2566678" localSheetId="14" hidden="1">'CRYSTAL BALL'!$AB$41</definedName>
    <definedName name="CBCR_42763341720249009a7837d242729cd6" localSheetId="14" hidden="1">'CRYSTAL BALL'!$L$6</definedName>
    <definedName name="CBCR_43b556fd760b43279f508fe6881e6ff2" localSheetId="14" hidden="1">'CRYSTAL BALL'!$C$52</definedName>
    <definedName name="CBCR_470b667c9e1c4497ad6ef07b5d225b75" localSheetId="14" hidden="1">'CRYSTAL BALL'!$D$41</definedName>
    <definedName name="CBCR_4ca3c6b908e5499a8921753b3a7909da" localSheetId="14" hidden="1">'CRYSTAL BALL'!$AF$17</definedName>
    <definedName name="CBCR_4d7f141c40024b76aef9c0429083eb44" localSheetId="14" hidden="1">'CRYSTAL BALL'!$AC$17</definedName>
    <definedName name="CBCR_4e1a2ae48c374a809f6b3d1016700ca1" localSheetId="14" hidden="1">'CRYSTAL BALL'!$AG$17</definedName>
    <definedName name="CBCR_55ac48d9e1d9471eb339a075f7fe52f9" localSheetId="14" hidden="1">'CRYSTAL BALL'!$S$17</definedName>
    <definedName name="CBCR_5614fc0518e44b0f90e81945fd6ec0bd" localSheetId="14" hidden="1">'CRYSTAL BALL'!$W$17</definedName>
    <definedName name="CBCR_57bed01c39cd4cfca904d2ef0760340f" localSheetId="14" hidden="1">'CRYSTAL BALL'!$E$9</definedName>
    <definedName name="CBCR_5a4aea2ac4c2439795ad2835961e663e" localSheetId="14" hidden="1">'CRYSTAL BALL'!$AC$41</definedName>
    <definedName name="CBCR_5aa8ac0673fd4104b6641b9a8f5f2090" localSheetId="14" hidden="1">'CRYSTAL BALL'!$L$9</definedName>
    <definedName name="CBCR_5c7af11d471d48908a7a8d8b290657a3" localSheetId="14" hidden="1">'CRYSTAL BALL'!$Y$17</definedName>
    <definedName name="CBCR_5d698ae8d1a8494e86a1de8819a20021" localSheetId="14" hidden="1">'CRYSTAL BALL'!$AA$17</definedName>
    <definedName name="CBCR_62f744431f8a435f9e3d143b0bc86806" localSheetId="14" hidden="1">'CRYSTAL BALL'!$Q$17</definedName>
    <definedName name="CBCR_637136f6a9114ff3ad63a6bc4193c1b0" localSheetId="14" hidden="1">'CRYSTAL BALL'!$U$41</definedName>
    <definedName name="CBCR_682c5db4cc714d19afe80e538f6f74be" localSheetId="14" hidden="1">'CRYSTAL BALL'!$P$17</definedName>
    <definedName name="CBCR_7422c96e37d941639a62bd3e11237c8e" localSheetId="14" hidden="1">'CRYSTAL BALL'!$C$41</definedName>
    <definedName name="CBCR_815e457a52004ccfa2b665e381c2fe8d" localSheetId="14" hidden="1">'CRYSTAL BALL'!$AD$41</definedName>
    <definedName name="CBCR_89eb936739954feb90d604454fc327bf" localSheetId="14" hidden="1">'CRYSTAL BALL'!$AB$17</definedName>
    <definedName name="CBCR_8ae7a332cc2c45a8a924bdf428a5549f" localSheetId="14" hidden="1">'CRYSTAL BALL'!$L$5</definedName>
    <definedName name="CBCR_8db6bf4d5e8c41568eee2afb196c5ad3" localSheetId="14" hidden="1">'CRYSTAL BALL'!$C$21</definedName>
    <definedName name="CBCR_9943efa1724c4b5783af6cc77f275f5c" localSheetId="14" hidden="1">'CRYSTAL BALL'!$AG$41</definedName>
    <definedName name="CBCR_9b7b6232be354070b5cf9aace324ee18" localSheetId="14" hidden="1">'CRYSTAL BALL'!$S$41</definedName>
    <definedName name="CBCR_9fd73e73e7e04b29a74bd89d762c78ab" localSheetId="14" hidden="1">'CRYSTAL BALL'!$X$17</definedName>
    <definedName name="CBCR_a500d19e8878425a8bb6a509f8afe916" localSheetId="14" hidden="1">'CRYSTAL BALL'!$R$17</definedName>
    <definedName name="CBCR_a8850bd7dc104c3c9dcc4c5970ab2678" localSheetId="14" hidden="1">'CRYSTAL BALL'!$V$41</definedName>
    <definedName name="CBCR_aacf90513fc040eb9f0d3d5b6bc081cd" localSheetId="14" hidden="1">'CRYSTAL BALL'!$AA$41</definedName>
    <definedName name="CBCR_afb88a7ac2234e6282afc7349c0be16b" localSheetId="14" hidden="1">'CRYSTAL BALL'!$L$7</definedName>
    <definedName name="CBCR_b0c8d352cccd45ab915eb48a69e245ed" localSheetId="14" hidden="1">'CRYSTAL BALL'!$Z$17</definedName>
    <definedName name="CBCR_b1e905d3cf094d17ad042226914771fe" localSheetId="14" hidden="1">'CRYSTAL BALL'!$L$8</definedName>
    <definedName name="CBCR_b67fcb3a104e4721892cf31c3aa33f32" localSheetId="14" hidden="1">'CRYSTAL BALL'!$O$17</definedName>
    <definedName name="CBCR_b70f41b3940c454198db37b3669f73c3" localSheetId="14" hidden="1">'CRYSTAL BALL'!$AD$17</definedName>
    <definedName name="CBCR_bf60f7f862a345f5b6f34d24a10771d0" localSheetId="14" hidden="1">'CRYSTAL BALL'!$D$52</definedName>
    <definedName name="CBCR_cc400cb0a57e4c548116b7c7f800efeb" localSheetId="14" hidden="1">'CRYSTAL BALL'!$P$41</definedName>
    <definedName name="CBCR_d18cb7b11e6746189a3d62640887e6fd" localSheetId="14" hidden="1">'CRYSTAL BALL'!$W$41</definedName>
    <definedName name="CBCR_dfa4d1e52c2a429f886fb4ca3f725a7c" localSheetId="14" hidden="1">'CRYSTAL BALL'!$V$17</definedName>
    <definedName name="CBCR_ec3fdc190ec14b4f88fed36d754f8312" localSheetId="14" hidden="1">'CRYSTAL BALL'!$Y$41</definedName>
    <definedName name="CBCR_ee30b26ad7c240019255726f4f7ac9c7" localSheetId="14" hidden="1">'CRYSTAL BALL'!$AE$17</definedName>
    <definedName name="CBCR_f2ffb86125da490ea3b6c29e61d8187d" localSheetId="14" hidden="1">'CRYSTAL BALL'!$K$46</definedName>
    <definedName name="CBCR_f5b07ff065f5424586a919c38a6b10fb" localSheetId="14" hidden="1">'CRYSTAL BALL'!$X$41</definedName>
    <definedName name="CBCR_f9952e7e21084d9887e1ee3002096672" localSheetId="14" hidden="1">'CRYSTAL BALL'!$R$41</definedName>
    <definedName name="CBCR_ff043a05e0d844c6ae30c54f250055f5" localSheetId="14" hidden="1">'CRYSTAL BALL'!$T$17</definedName>
    <definedName name="CBWorkbookPriority" localSheetId="13" hidden="1">-404833322473133</definedName>
    <definedName name="CBx_b5b2e5e88b9c44a199b81cd1d3cb313c" localSheetId="13" hidden="1">"'CB_DATA_'!$A$1"</definedName>
    <definedName name="CBx_ffafc44218014cdabe6745c9238174d5" localSheetId="13" hidden="1">"'CRYSTAL BALL'!$A$1"</definedName>
    <definedName name="CBx_Sheet_Guid" localSheetId="13" hidden="1">"'b5b2e5e8-8b9c-44a1-99b8-1cd1d3cb313c"</definedName>
    <definedName name="CBx_Sheet_Guid" localSheetId="14" hidden="1">"'ffafc442-1801-4cda-be67-45c9238174d5"</definedName>
    <definedName name="CBx_SheetRef" localSheetId="13" hidden="1">CB_DATA_!$A$14</definedName>
    <definedName name="CBx_SheetRef" localSheetId="14" hidden="1">CB_DATA_!$B$14</definedName>
    <definedName name="CBx_StorageType" localSheetId="13" hidden="1">2</definedName>
    <definedName name="CBx_StorageType" localSheetId="14" hidden="1">2</definedName>
  </definedNames>
  <calcPr calcId="152511" concurrentCalc="0" concurrentManualCount="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14" l="1"/>
  <c r="N16" i="14"/>
  <c r="M16" i="14"/>
  <c r="J16" i="14"/>
  <c r="I16" i="14"/>
  <c r="I14" i="14"/>
  <c r="H14" i="14"/>
  <c r="G14" i="14"/>
  <c r="F14" i="14"/>
  <c r="G50" i="12"/>
  <c r="E20" i="14"/>
  <c r="F9" i="14"/>
  <c r="F11" i="14"/>
  <c r="F12" i="14"/>
  <c r="E21" i="14"/>
  <c r="E22" i="14"/>
  <c r="D18" i="10"/>
  <c r="F20" i="14"/>
  <c r="G9" i="14"/>
  <c r="G10" i="14"/>
  <c r="G11" i="14"/>
  <c r="G12" i="14"/>
  <c r="G13" i="14"/>
  <c r="F21" i="14"/>
  <c r="F22" i="14"/>
  <c r="E18" i="10"/>
  <c r="G20" i="14"/>
  <c r="H9" i="14"/>
  <c r="H10" i="14"/>
  <c r="H11" i="14"/>
  <c r="H12" i="14"/>
  <c r="H13" i="14"/>
  <c r="G21" i="14"/>
  <c r="G22" i="14"/>
  <c r="F18" i="10"/>
  <c r="H20" i="14"/>
  <c r="I9" i="14"/>
  <c r="I10" i="14"/>
  <c r="I11" i="14"/>
  <c r="I12" i="14"/>
  <c r="I13" i="14"/>
  <c r="H21" i="14"/>
  <c r="H22" i="14"/>
  <c r="G18" i="10"/>
  <c r="I20" i="14"/>
  <c r="J9" i="14"/>
  <c r="J10" i="14"/>
  <c r="J11" i="14"/>
  <c r="J12" i="14"/>
  <c r="J13" i="14"/>
  <c r="J14" i="14"/>
  <c r="I21" i="14"/>
  <c r="I22" i="14"/>
  <c r="H18" i="10"/>
  <c r="J20" i="14"/>
  <c r="K9" i="14"/>
  <c r="K10" i="14"/>
  <c r="K11" i="14"/>
  <c r="K12" i="14"/>
  <c r="K13" i="14"/>
  <c r="K14" i="14"/>
  <c r="J21" i="14"/>
  <c r="J22" i="14"/>
  <c r="I18" i="10"/>
  <c r="K20" i="14"/>
  <c r="L9" i="14"/>
  <c r="L10" i="14"/>
  <c r="L11" i="14"/>
  <c r="L12" i="14"/>
  <c r="L13" i="14"/>
  <c r="L14" i="14"/>
  <c r="K21" i="14"/>
  <c r="K22" i="14"/>
  <c r="J18" i="10"/>
  <c r="L20" i="14"/>
  <c r="M9" i="14"/>
  <c r="M10" i="14"/>
  <c r="M11" i="14"/>
  <c r="M12" i="14"/>
  <c r="M13" i="14"/>
  <c r="M14" i="14"/>
  <c r="L21" i="14"/>
  <c r="L22" i="14"/>
  <c r="K18" i="10"/>
  <c r="M20" i="14"/>
  <c r="N9" i="14"/>
  <c r="N10" i="14"/>
  <c r="N11" i="14"/>
  <c r="N12" i="14"/>
  <c r="N13" i="14"/>
  <c r="N14" i="14"/>
  <c r="M21" i="14"/>
  <c r="M22" i="14"/>
  <c r="L18" i="10"/>
  <c r="N20" i="14"/>
  <c r="O9" i="14"/>
  <c r="O10" i="14"/>
  <c r="O11" i="14"/>
  <c r="O12" i="14"/>
  <c r="O13" i="14"/>
  <c r="O14" i="14"/>
  <c r="N21" i="14"/>
  <c r="N22" i="14"/>
  <c r="M18" i="10"/>
  <c r="O20" i="14"/>
  <c r="P11" i="14"/>
  <c r="P12" i="14"/>
  <c r="P14" i="14"/>
  <c r="O21" i="14"/>
  <c r="O22" i="14"/>
  <c r="N18" i="10"/>
  <c r="P20" i="14"/>
  <c r="Q9" i="14"/>
  <c r="Q11" i="14"/>
  <c r="Q12" i="14"/>
  <c r="Q14" i="14"/>
  <c r="P21" i="14"/>
  <c r="P22" i="14"/>
  <c r="O18" i="10"/>
  <c r="Q20" i="14"/>
  <c r="R9" i="14"/>
  <c r="R11" i="14"/>
  <c r="R12" i="14"/>
  <c r="R14" i="14"/>
  <c r="Q21" i="14"/>
  <c r="Q22" i="14"/>
  <c r="P18" i="10"/>
  <c r="R20" i="14"/>
  <c r="S9" i="14"/>
  <c r="S11" i="14"/>
  <c r="S12" i="14"/>
  <c r="S14" i="14"/>
  <c r="R21" i="14"/>
  <c r="R22" i="14"/>
  <c r="Q18" i="10"/>
  <c r="S20" i="14"/>
  <c r="T9" i="14"/>
  <c r="T11" i="14"/>
  <c r="T12" i="14"/>
  <c r="T14" i="14"/>
  <c r="S21" i="14"/>
  <c r="S22" i="14"/>
  <c r="R18" i="10"/>
  <c r="T20" i="14"/>
  <c r="U9" i="14"/>
  <c r="U11" i="14"/>
  <c r="U12" i="14"/>
  <c r="U14" i="14"/>
  <c r="T21" i="14"/>
  <c r="T22" i="14"/>
  <c r="S18" i="10"/>
  <c r="U20" i="14"/>
  <c r="V9" i="14"/>
  <c r="V11" i="14"/>
  <c r="V12" i="14"/>
  <c r="V14" i="14"/>
  <c r="U21" i="14"/>
  <c r="U22" i="14"/>
  <c r="T18" i="10"/>
  <c r="V20" i="14"/>
  <c r="W9" i="14"/>
  <c r="W11" i="14"/>
  <c r="W12" i="14"/>
  <c r="W14" i="14"/>
  <c r="V21" i="14"/>
  <c r="V22" i="14"/>
  <c r="U18" i="10"/>
  <c r="W20" i="14"/>
  <c r="X9" i="14"/>
  <c r="X11" i="14"/>
  <c r="X12" i="14"/>
  <c r="X14" i="14"/>
  <c r="W21" i="14"/>
  <c r="W22" i="14"/>
  <c r="V18" i="10"/>
  <c r="X20" i="14"/>
  <c r="Y9" i="14"/>
  <c r="Y11" i="14"/>
  <c r="Y12" i="14"/>
  <c r="Y14" i="14"/>
  <c r="X21" i="14"/>
  <c r="X22" i="14"/>
  <c r="W18" i="10"/>
  <c r="D20" i="14"/>
  <c r="E14" i="14"/>
  <c r="D21" i="14"/>
  <c r="D22" i="14"/>
  <c r="C18" i="10"/>
  <c r="C21" i="10"/>
  <c r="C20" i="10"/>
  <c r="E42" i="14"/>
  <c r="E43" i="14"/>
  <c r="E47" i="14"/>
  <c r="E48" i="14"/>
  <c r="F42" i="14"/>
  <c r="F43" i="14"/>
  <c r="F47" i="14"/>
  <c r="F48" i="14"/>
  <c r="G42" i="14"/>
  <c r="G43" i="14"/>
  <c r="G47" i="14"/>
  <c r="G48" i="14"/>
  <c r="H42" i="14"/>
  <c r="H43" i="14"/>
  <c r="H47" i="14"/>
  <c r="H48" i="14"/>
  <c r="I42" i="14"/>
  <c r="I43" i="14"/>
  <c r="I47" i="14"/>
  <c r="I48" i="14"/>
  <c r="J42" i="14"/>
  <c r="J43" i="14"/>
  <c r="J47" i="14"/>
  <c r="J48" i="14"/>
  <c r="K42" i="14"/>
  <c r="K43" i="14"/>
  <c r="K47" i="14"/>
  <c r="K48" i="14"/>
  <c r="L42" i="14"/>
  <c r="L43" i="14"/>
  <c r="L47" i="14"/>
  <c r="L48" i="14"/>
  <c r="M42" i="14"/>
  <c r="M43" i="14"/>
  <c r="M47" i="14"/>
  <c r="M48" i="14"/>
  <c r="N42" i="14"/>
  <c r="N43" i="14"/>
  <c r="N47" i="14"/>
  <c r="N48" i="14"/>
  <c r="O42" i="14"/>
  <c r="O43" i="14"/>
  <c r="O48" i="14"/>
  <c r="P42" i="14"/>
  <c r="P43" i="14"/>
  <c r="P48" i="14"/>
  <c r="Q42" i="14"/>
  <c r="Q43" i="14"/>
  <c r="Q48" i="14"/>
  <c r="R42" i="14"/>
  <c r="R43" i="14"/>
  <c r="R48" i="14"/>
  <c r="S42" i="14"/>
  <c r="S43" i="14"/>
  <c r="S48" i="14"/>
  <c r="T42" i="14"/>
  <c r="T43" i="14"/>
  <c r="T48" i="14"/>
  <c r="U42" i="14"/>
  <c r="U43" i="14"/>
  <c r="U48" i="14"/>
  <c r="V42" i="14"/>
  <c r="V43" i="14"/>
  <c r="V48" i="14"/>
  <c r="W42" i="14"/>
  <c r="W43" i="14"/>
  <c r="W48" i="14"/>
  <c r="X42" i="14"/>
  <c r="X43" i="14"/>
  <c r="X45" i="14"/>
  <c r="X46" i="14"/>
  <c r="X48" i="14"/>
  <c r="D44" i="14"/>
  <c r="D47" i="14"/>
  <c r="D48" i="14"/>
  <c r="J51" i="4"/>
  <c r="J50" i="4"/>
  <c r="J49" i="4"/>
  <c r="J48" i="4"/>
  <c r="J47" i="4"/>
  <c r="H49" i="4"/>
  <c r="H52" i="4"/>
  <c r="H51" i="4"/>
  <c r="H50" i="4"/>
  <c r="H48" i="4"/>
  <c r="H47" i="4"/>
  <c r="F52" i="4"/>
  <c r="F51" i="4"/>
  <c r="F49" i="4"/>
  <c r="F48" i="4"/>
  <c r="F47" i="4"/>
  <c r="H54" i="4"/>
  <c r="G21" i="12"/>
  <c r="G48" i="12"/>
  <c r="G51" i="12"/>
  <c r="G52" i="12"/>
  <c r="F34" i="14"/>
  <c r="F35" i="14"/>
  <c r="F36" i="14"/>
  <c r="F37" i="14"/>
  <c r="G22" i="12"/>
  <c r="G23" i="12"/>
  <c r="G24" i="12"/>
  <c r="F8" i="13"/>
  <c r="F9" i="13"/>
  <c r="F14" i="13"/>
  <c r="M7" i="19"/>
  <c r="M10" i="19"/>
  <c r="M20" i="19"/>
  <c r="C10" i="19"/>
  <c r="C23" i="19"/>
  <c r="C20" i="19"/>
  <c r="C27" i="7"/>
  <c r="M23" i="19"/>
  <c r="R17" i="19"/>
  <c r="M17" i="19"/>
  <c r="S9" i="19"/>
  <c r="M6" i="19"/>
  <c r="I9" i="19"/>
  <c r="C6" i="19"/>
  <c r="H17" i="19"/>
  <c r="C17" i="19"/>
  <c r="C22" i="7"/>
  <c r="E28" i="1"/>
  <c r="E27" i="1"/>
  <c r="F16" i="14"/>
  <c r="K16" i="14"/>
  <c r="L16" i="14"/>
  <c r="H16" i="14"/>
  <c r="G16" i="14"/>
  <c r="C37" i="4"/>
  <c r="C34" i="4"/>
  <c r="C27" i="4"/>
  <c r="C23" i="2"/>
  <c r="C22" i="2"/>
  <c r="D10" i="2"/>
  <c r="F27" i="1"/>
  <c r="J27" i="1"/>
  <c r="J28" i="1"/>
  <c r="C11" i="3"/>
  <c r="C12" i="3"/>
  <c r="D14" i="3"/>
  <c r="I15" i="4"/>
  <c r="I14" i="4"/>
  <c r="I16" i="4"/>
  <c r="D7" i="5"/>
  <c r="F56" i="11"/>
  <c r="M54" i="17"/>
  <c r="P11" i="17"/>
  <c r="Q11" i="17"/>
  <c r="R11" i="17"/>
  <c r="S11" i="17"/>
  <c r="T11" i="17"/>
  <c r="U11" i="17"/>
  <c r="V11" i="17"/>
  <c r="W11" i="17"/>
  <c r="X11" i="17"/>
  <c r="Y11" i="17"/>
  <c r="Z11" i="17"/>
  <c r="AA11" i="17"/>
  <c r="AB11" i="17"/>
  <c r="AC11" i="17"/>
  <c r="AD11" i="17"/>
  <c r="P12" i="17"/>
  <c r="Q12" i="17"/>
  <c r="R12" i="17"/>
  <c r="S12" i="17"/>
  <c r="T12" i="17"/>
  <c r="U12" i="17"/>
  <c r="V12" i="17"/>
  <c r="W12" i="17"/>
  <c r="X12" i="17"/>
  <c r="Y12" i="17"/>
  <c r="Z12" i="17"/>
  <c r="AA12" i="17"/>
  <c r="AB12" i="17"/>
  <c r="AC12" i="17"/>
  <c r="AD12" i="17"/>
  <c r="AE12" i="17"/>
  <c r="AF12" i="17"/>
  <c r="AG12" i="17"/>
  <c r="J29" i="12"/>
  <c r="K29" i="12"/>
  <c r="L29" i="12"/>
  <c r="M29" i="12"/>
  <c r="N29" i="12"/>
  <c r="O29" i="12"/>
  <c r="P29" i="12"/>
  <c r="Q29" i="12"/>
  <c r="R29" i="12"/>
  <c r="S29" i="12"/>
  <c r="T29" i="12"/>
  <c r="U29" i="12"/>
  <c r="V29" i="12"/>
  <c r="W29" i="12"/>
  <c r="X29" i="12"/>
  <c r="Y29" i="12"/>
  <c r="Z29" i="12"/>
  <c r="H29" i="12"/>
  <c r="I29" i="12"/>
  <c r="G11" i="12"/>
  <c r="G10" i="12"/>
  <c r="G29" i="12"/>
  <c r="D22" i="2"/>
  <c r="P21" i="17"/>
  <c r="P23" i="17"/>
  <c r="P22" i="17"/>
  <c r="Q21" i="17"/>
  <c r="Q23" i="17"/>
  <c r="Q22" i="17"/>
  <c r="R21" i="17"/>
  <c r="R23" i="17"/>
  <c r="R22" i="17"/>
  <c r="S21" i="17"/>
  <c r="S23" i="17"/>
  <c r="S22" i="17"/>
  <c r="T21" i="17"/>
  <c r="T23" i="17"/>
  <c r="T22" i="17"/>
  <c r="U21" i="17"/>
  <c r="U23" i="17"/>
  <c r="U22" i="17"/>
  <c r="V21" i="17"/>
  <c r="V23" i="17"/>
  <c r="V22" i="17"/>
  <c r="W21" i="17"/>
  <c r="W23" i="17"/>
  <c r="W22" i="17"/>
  <c r="X21" i="17"/>
  <c r="X23" i="17"/>
  <c r="X22" i="17"/>
  <c r="Y21" i="17"/>
  <c r="Y23" i="17"/>
  <c r="Y22" i="17"/>
  <c r="Z21" i="17"/>
  <c r="Z23" i="17"/>
  <c r="Z22" i="17"/>
  <c r="AA21" i="17"/>
  <c r="AA23" i="17"/>
  <c r="AA22" i="17"/>
  <c r="AB21" i="17"/>
  <c r="AB23" i="17"/>
  <c r="AB22" i="17"/>
  <c r="AC21" i="17"/>
  <c r="AC23" i="17"/>
  <c r="AC22" i="17"/>
  <c r="AD21" i="17"/>
  <c r="AD23" i="17"/>
  <c r="AD22" i="17"/>
  <c r="AE21" i="17"/>
  <c r="AE23" i="17"/>
  <c r="AE22" i="17"/>
  <c r="AF21" i="17"/>
  <c r="AF23" i="17"/>
  <c r="AF22" i="17"/>
  <c r="AG21" i="17"/>
  <c r="AG23" i="17"/>
  <c r="AG22" i="17"/>
  <c r="O21" i="17"/>
  <c r="R19" i="17"/>
  <c r="S19" i="17"/>
  <c r="T19" i="17"/>
  <c r="U19" i="17"/>
  <c r="V19" i="17"/>
  <c r="W19" i="17"/>
  <c r="X19" i="17"/>
  <c r="Y19" i="17"/>
  <c r="Z19" i="17"/>
  <c r="AA19" i="17"/>
  <c r="AB19" i="17"/>
  <c r="AC19" i="17"/>
  <c r="AD19" i="17"/>
  <c r="AE19" i="17"/>
  <c r="AF19" i="17"/>
  <c r="AG19" i="17"/>
  <c r="Q19" i="17"/>
  <c r="P19" i="17"/>
  <c r="O19" i="17"/>
  <c r="O23" i="17"/>
  <c r="O22" i="17"/>
  <c r="N19" i="17"/>
  <c r="N20" i="17"/>
  <c r="N18" i="17"/>
  <c r="M46" i="17"/>
  <c r="M49" i="17"/>
  <c r="N21" i="17"/>
  <c r="N25" i="17"/>
  <c r="N26" i="17"/>
  <c r="N27" i="17"/>
  <c r="N28" i="17"/>
  <c r="N29" i="17"/>
  <c r="N30" i="17"/>
  <c r="N31" i="17"/>
  <c r="N24" i="17"/>
  <c r="N32" i="17"/>
  <c r="N33" i="17"/>
  <c r="N34" i="17"/>
  <c r="N35" i="17"/>
  <c r="N43" i="17"/>
  <c r="N44" i="17"/>
  <c r="N49" i="17"/>
  <c r="O20" i="17"/>
  <c r="O18" i="17"/>
  <c r="P20" i="17"/>
  <c r="P18" i="17"/>
  <c r="Q20" i="17"/>
  <c r="Q18" i="17"/>
  <c r="R20" i="17"/>
  <c r="R18" i="17"/>
  <c r="S20" i="17"/>
  <c r="S18" i="17"/>
  <c r="T20" i="17"/>
  <c r="T18" i="17"/>
  <c r="U20" i="17"/>
  <c r="U18" i="17"/>
  <c r="V20" i="17"/>
  <c r="V18" i="17"/>
  <c r="W20" i="17"/>
  <c r="W18" i="17"/>
  <c r="X20" i="17"/>
  <c r="X18" i="17"/>
  <c r="Y20" i="17"/>
  <c r="Y18" i="17"/>
  <c r="Z20" i="17"/>
  <c r="Z18" i="17"/>
  <c r="AA20" i="17"/>
  <c r="AA18" i="17"/>
  <c r="AB20" i="17"/>
  <c r="AB18" i="17"/>
  <c r="AC20" i="17"/>
  <c r="AC18" i="17"/>
  <c r="AD20" i="17"/>
  <c r="AD18" i="17"/>
  <c r="AE20" i="17"/>
  <c r="AE18" i="17"/>
  <c r="AF20" i="17"/>
  <c r="AF18" i="17"/>
  <c r="AG20" i="17"/>
  <c r="AG18" i="17"/>
  <c r="C15" i="7"/>
  <c r="N23" i="17"/>
  <c r="N22" i="17"/>
  <c r="F28" i="2"/>
  <c r="F29" i="2"/>
  <c r="F27" i="2"/>
  <c r="F54" i="4"/>
  <c r="AG48" i="17"/>
  <c r="AG47" i="17"/>
  <c r="C17" i="7"/>
  <c r="C16" i="7"/>
  <c r="C31" i="17"/>
  <c r="E31" i="17"/>
  <c r="D31" i="17"/>
  <c r="D38" i="11"/>
  <c r="D37" i="11"/>
  <c r="G27" i="12"/>
  <c r="G28" i="12"/>
  <c r="C21" i="17"/>
  <c r="H27" i="12"/>
  <c r="H28" i="12"/>
  <c r="E21" i="17"/>
  <c r="D21" i="17"/>
  <c r="D15" i="5"/>
  <c r="C12" i="7"/>
  <c r="F15" i="5"/>
  <c r="E82" i="1"/>
  <c r="G8" i="12"/>
  <c r="G7" i="12"/>
  <c r="D16" i="5"/>
  <c r="E16" i="5"/>
  <c r="E29" i="5"/>
  <c r="H49" i="12"/>
  <c r="F28" i="1"/>
  <c r="F82" i="1"/>
  <c r="H8" i="12"/>
  <c r="H7" i="12"/>
  <c r="H22" i="12"/>
  <c r="H23" i="12"/>
  <c r="H24" i="12"/>
  <c r="G8" i="13"/>
  <c r="G9" i="13"/>
  <c r="G14" i="13"/>
  <c r="F16" i="5"/>
  <c r="D17" i="5"/>
  <c r="E17" i="5"/>
  <c r="F29" i="5"/>
  <c r="I49" i="12"/>
  <c r="E29" i="1"/>
  <c r="F29" i="1"/>
  <c r="G82" i="1"/>
  <c r="I8" i="12"/>
  <c r="I7" i="12"/>
  <c r="I22" i="12"/>
  <c r="I23" i="12"/>
  <c r="I24" i="12"/>
  <c r="H8" i="13"/>
  <c r="H9" i="13"/>
  <c r="H14" i="13"/>
  <c r="F17" i="5"/>
  <c r="D18" i="5"/>
  <c r="E18" i="5"/>
  <c r="G29" i="5"/>
  <c r="J49" i="12"/>
  <c r="E30" i="1"/>
  <c r="F30" i="1"/>
  <c r="H82" i="1"/>
  <c r="J8" i="12"/>
  <c r="J7" i="12"/>
  <c r="J22" i="12"/>
  <c r="J23" i="12"/>
  <c r="J24" i="12"/>
  <c r="I8" i="13"/>
  <c r="I9" i="13"/>
  <c r="I14" i="13"/>
  <c r="F18" i="5"/>
  <c r="D19" i="5"/>
  <c r="E19" i="5"/>
  <c r="H29" i="5"/>
  <c r="K49" i="12"/>
  <c r="E31" i="1"/>
  <c r="F31" i="1"/>
  <c r="I82" i="1"/>
  <c r="K8" i="12"/>
  <c r="K7" i="12"/>
  <c r="K22" i="12"/>
  <c r="K23" i="12"/>
  <c r="K24" i="12"/>
  <c r="J8" i="13"/>
  <c r="J9" i="13"/>
  <c r="J14" i="13"/>
  <c r="F19" i="5"/>
  <c r="D20" i="5"/>
  <c r="E20" i="5"/>
  <c r="I29" i="5"/>
  <c r="L49" i="12"/>
  <c r="E32" i="1"/>
  <c r="F32" i="1"/>
  <c r="J82" i="1"/>
  <c r="L8" i="12"/>
  <c r="L7" i="12"/>
  <c r="L22" i="12"/>
  <c r="L23" i="12"/>
  <c r="L24" i="12"/>
  <c r="K8" i="13"/>
  <c r="K9" i="13"/>
  <c r="K14" i="13"/>
  <c r="F20" i="5"/>
  <c r="D21" i="5"/>
  <c r="E21" i="5"/>
  <c r="J29" i="5"/>
  <c r="M49" i="12"/>
  <c r="E33" i="1"/>
  <c r="F33" i="1"/>
  <c r="K82" i="1"/>
  <c r="M8" i="12"/>
  <c r="M7" i="12"/>
  <c r="M22" i="12"/>
  <c r="M23" i="12"/>
  <c r="M24" i="12"/>
  <c r="L8" i="13"/>
  <c r="L9" i="13"/>
  <c r="L14" i="13"/>
  <c r="F21" i="5"/>
  <c r="D22" i="5"/>
  <c r="E22" i="5"/>
  <c r="K29" i="5"/>
  <c r="N49" i="12"/>
  <c r="E34" i="1"/>
  <c r="F34" i="1"/>
  <c r="L82" i="1"/>
  <c r="N8" i="12"/>
  <c r="N7" i="12"/>
  <c r="N22" i="12"/>
  <c r="N23" i="12"/>
  <c r="N24" i="12"/>
  <c r="M8" i="13"/>
  <c r="M9" i="13"/>
  <c r="M14" i="13"/>
  <c r="F22" i="5"/>
  <c r="D23" i="5"/>
  <c r="E23" i="5"/>
  <c r="L29" i="5"/>
  <c r="O49" i="12"/>
  <c r="E35" i="1"/>
  <c r="F35" i="1"/>
  <c r="M82" i="1"/>
  <c r="O8" i="12"/>
  <c r="O7" i="12"/>
  <c r="O22" i="12"/>
  <c r="O23" i="12"/>
  <c r="O24" i="12"/>
  <c r="N8" i="13"/>
  <c r="N9" i="13"/>
  <c r="N14" i="13"/>
  <c r="F23" i="5"/>
  <c r="D24" i="5"/>
  <c r="E24" i="5"/>
  <c r="M29" i="5"/>
  <c r="P49" i="12"/>
  <c r="E36" i="1"/>
  <c r="F36" i="1"/>
  <c r="N82" i="1"/>
  <c r="P8" i="12"/>
  <c r="P7" i="12"/>
  <c r="P22" i="12"/>
  <c r="P23" i="12"/>
  <c r="P24" i="12"/>
  <c r="O8" i="13"/>
  <c r="O9" i="13"/>
  <c r="O14" i="13"/>
  <c r="E37" i="1"/>
  <c r="F37" i="1"/>
  <c r="O82" i="1"/>
  <c r="Q8" i="12"/>
  <c r="Q7" i="12"/>
  <c r="Q22" i="12"/>
  <c r="Q23" i="12"/>
  <c r="Q24" i="12"/>
  <c r="P8" i="13"/>
  <c r="P9" i="13"/>
  <c r="P14" i="13"/>
  <c r="E38" i="1"/>
  <c r="F38" i="1"/>
  <c r="P82" i="1"/>
  <c r="R8" i="12"/>
  <c r="R7" i="12"/>
  <c r="R22" i="12"/>
  <c r="R23" i="12"/>
  <c r="R24" i="12"/>
  <c r="Q8" i="13"/>
  <c r="Q9" i="13"/>
  <c r="Q14" i="13"/>
  <c r="E39" i="1"/>
  <c r="F39" i="1"/>
  <c r="Q82" i="1"/>
  <c r="S8" i="12"/>
  <c r="S7" i="12"/>
  <c r="S22" i="12"/>
  <c r="S23" i="12"/>
  <c r="S24" i="12"/>
  <c r="R8" i="13"/>
  <c r="R9" i="13"/>
  <c r="R14" i="13"/>
  <c r="E40" i="1"/>
  <c r="F40" i="1"/>
  <c r="R82" i="1"/>
  <c r="T8" i="12"/>
  <c r="T7" i="12"/>
  <c r="T22" i="12"/>
  <c r="T23" i="12"/>
  <c r="T24" i="12"/>
  <c r="S8" i="13"/>
  <c r="S9" i="13"/>
  <c r="S14" i="13"/>
  <c r="E41" i="1"/>
  <c r="F41" i="1"/>
  <c r="S82" i="1"/>
  <c r="U8" i="12"/>
  <c r="U7" i="12"/>
  <c r="U22" i="12"/>
  <c r="U23" i="12"/>
  <c r="U24" i="12"/>
  <c r="T8" i="13"/>
  <c r="T9" i="13"/>
  <c r="T14" i="13"/>
  <c r="E42" i="1"/>
  <c r="F42" i="1"/>
  <c r="T82" i="1"/>
  <c r="V8" i="12"/>
  <c r="V7" i="12"/>
  <c r="V22" i="12"/>
  <c r="V23" i="12"/>
  <c r="V24" i="12"/>
  <c r="U8" i="13"/>
  <c r="U9" i="13"/>
  <c r="U14" i="13"/>
  <c r="E43" i="1"/>
  <c r="F43" i="1"/>
  <c r="U82" i="1"/>
  <c r="W8" i="12"/>
  <c r="W7" i="12"/>
  <c r="W22" i="12"/>
  <c r="W23" i="12"/>
  <c r="W24" i="12"/>
  <c r="V8" i="13"/>
  <c r="V9" i="13"/>
  <c r="V14" i="13"/>
  <c r="E44" i="1"/>
  <c r="F44" i="1"/>
  <c r="V82" i="1"/>
  <c r="X8" i="12"/>
  <c r="X7" i="12"/>
  <c r="X22" i="12"/>
  <c r="X23" i="12"/>
  <c r="X24" i="12"/>
  <c r="W8" i="13"/>
  <c r="W9" i="13"/>
  <c r="W14" i="13"/>
  <c r="E45" i="1"/>
  <c r="F45" i="1"/>
  <c r="W82" i="1"/>
  <c r="Y8" i="12"/>
  <c r="Y7" i="12"/>
  <c r="Y22" i="12"/>
  <c r="Y23" i="12"/>
  <c r="Y24" i="12"/>
  <c r="X8" i="13"/>
  <c r="X9" i="13"/>
  <c r="X14" i="13"/>
  <c r="E46" i="1"/>
  <c r="F46" i="1"/>
  <c r="X82" i="1"/>
  <c r="Z8" i="12"/>
  <c r="Z7" i="12"/>
  <c r="Z22" i="12"/>
  <c r="Z23" i="12"/>
  <c r="Z24" i="12"/>
  <c r="Y8" i="13"/>
  <c r="Y9" i="13"/>
  <c r="Y12" i="13"/>
  <c r="Y13" i="13"/>
  <c r="Y14" i="13"/>
  <c r="E11" i="13"/>
  <c r="E14" i="13"/>
  <c r="C60" i="11"/>
  <c r="H10" i="12"/>
  <c r="I10" i="12"/>
  <c r="J10" i="12"/>
  <c r="K10" i="12"/>
  <c r="L10" i="12"/>
  <c r="M10" i="12"/>
  <c r="N10" i="12"/>
  <c r="O10" i="12"/>
  <c r="P10" i="12"/>
  <c r="Q10" i="12"/>
  <c r="R10" i="12"/>
  <c r="S10" i="12"/>
  <c r="T10" i="12"/>
  <c r="U10" i="12"/>
  <c r="V10" i="12"/>
  <c r="W10" i="12"/>
  <c r="X10" i="12"/>
  <c r="Y10" i="12"/>
  <c r="Z10" i="12"/>
  <c r="C52" i="17"/>
  <c r="E52" i="17"/>
  <c r="D52" i="17"/>
  <c r="C41" i="17"/>
  <c r="E41" i="17"/>
  <c r="D41" i="17"/>
  <c r="C29" i="7"/>
  <c r="O25" i="17"/>
  <c r="O26" i="17"/>
  <c r="O27" i="17"/>
  <c r="O28" i="17"/>
  <c r="O29" i="17"/>
  <c r="O30" i="17"/>
  <c r="O31" i="17"/>
  <c r="O24" i="17"/>
  <c r="H21" i="12"/>
  <c r="O32" i="17"/>
  <c r="P25" i="17"/>
  <c r="P26" i="17"/>
  <c r="P27" i="17"/>
  <c r="P28" i="17"/>
  <c r="P29" i="17"/>
  <c r="P30" i="17"/>
  <c r="P31" i="17"/>
  <c r="P24" i="17"/>
  <c r="I21" i="12"/>
  <c r="P32" i="17"/>
  <c r="Q25" i="17"/>
  <c r="Q26" i="17"/>
  <c r="Q27" i="17"/>
  <c r="Q28" i="17"/>
  <c r="Q29" i="17"/>
  <c r="Q30" i="17"/>
  <c r="Q31" i="17"/>
  <c r="Q24" i="17"/>
  <c r="J21" i="12"/>
  <c r="Q32" i="17"/>
  <c r="R25" i="17"/>
  <c r="R26" i="17"/>
  <c r="R27" i="17"/>
  <c r="R28" i="17"/>
  <c r="R29" i="17"/>
  <c r="R30" i="17"/>
  <c r="R31" i="17"/>
  <c r="R24" i="17"/>
  <c r="K21" i="12"/>
  <c r="R32" i="17"/>
  <c r="S25" i="17"/>
  <c r="S26" i="17"/>
  <c r="S27" i="17"/>
  <c r="S28" i="17"/>
  <c r="S29" i="17"/>
  <c r="S30" i="17"/>
  <c r="S31" i="17"/>
  <c r="S24" i="17"/>
  <c r="L21" i="12"/>
  <c r="S32" i="17"/>
  <c r="T25" i="17"/>
  <c r="T26" i="17"/>
  <c r="T27" i="17"/>
  <c r="T28" i="17"/>
  <c r="T29" i="17"/>
  <c r="T30" i="17"/>
  <c r="T31" i="17"/>
  <c r="T24" i="17"/>
  <c r="M21" i="12"/>
  <c r="T32" i="17"/>
  <c r="U25" i="17"/>
  <c r="U26" i="17"/>
  <c r="U27" i="17"/>
  <c r="U28" i="17"/>
  <c r="U29" i="17"/>
  <c r="U30" i="17"/>
  <c r="U31" i="17"/>
  <c r="U24" i="17"/>
  <c r="N21" i="12"/>
  <c r="U32" i="17"/>
  <c r="V25" i="17"/>
  <c r="V26" i="17"/>
  <c r="V27" i="17"/>
  <c r="V28" i="17"/>
  <c r="V29" i="17"/>
  <c r="V30" i="17"/>
  <c r="V31" i="17"/>
  <c r="V24" i="17"/>
  <c r="O21" i="12"/>
  <c r="V32" i="17"/>
  <c r="W25" i="17"/>
  <c r="W26" i="17"/>
  <c r="W27" i="17"/>
  <c r="W28" i="17"/>
  <c r="W29" i="17"/>
  <c r="W30" i="17"/>
  <c r="W31" i="17"/>
  <c r="W24" i="17"/>
  <c r="P21" i="12"/>
  <c r="W32" i="17"/>
  <c r="X25" i="17"/>
  <c r="X26" i="17"/>
  <c r="X27" i="17"/>
  <c r="X28" i="17"/>
  <c r="X29" i="17"/>
  <c r="X30" i="17"/>
  <c r="X31" i="17"/>
  <c r="X24" i="17"/>
  <c r="Q21" i="12"/>
  <c r="X32" i="17"/>
  <c r="Y25" i="17"/>
  <c r="Y26" i="17"/>
  <c r="Y27" i="17"/>
  <c r="Y28" i="17"/>
  <c r="Y29" i="17"/>
  <c r="Y30" i="17"/>
  <c r="Y31" i="17"/>
  <c r="Y24" i="17"/>
  <c r="R21" i="12"/>
  <c r="Y32" i="17"/>
  <c r="Z25" i="17"/>
  <c r="Z26" i="17"/>
  <c r="Z27" i="17"/>
  <c r="Z28" i="17"/>
  <c r="Z29" i="17"/>
  <c r="Z30" i="17"/>
  <c r="Z31" i="17"/>
  <c r="Z24" i="17"/>
  <c r="S21" i="12"/>
  <c r="Z32" i="17"/>
  <c r="AA25" i="17"/>
  <c r="AA26" i="17"/>
  <c r="AA27" i="17"/>
  <c r="AA28" i="17"/>
  <c r="AA29" i="17"/>
  <c r="AA30" i="17"/>
  <c r="AA31" i="17"/>
  <c r="AA24" i="17"/>
  <c r="T21" i="12"/>
  <c r="AA32" i="17"/>
  <c r="AB25" i="17"/>
  <c r="AB26" i="17"/>
  <c r="AB27" i="17"/>
  <c r="AB28" i="17"/>
  <c r="AB29" i="17"/>
  <c r="AB30" i="17"/>
  <c r="AB31" i="17"/>
  <c r="AB24" i="17"/>
  <c r="U21" i="12"/>
  <c r="AB32" i="17"/>
  <c r="AC25" i="17"/>
  <c r="AC26" i="17"/>
  <c r="AC27" i="17"/>
  <c r="AC28" i="17"/>
  <c r="AC29" i="17"/>
  <c r="AC30" i="17"/>
  <c r="AC31" i="17"/>
  <c r="AC24" i="17"/>
  <c r="V21" i="12"/>
  <c r="AC32" i="17"/>
  <c r="AD25" i="17"/>
  <c r="AD26" i="17"/>
  <c r="AD27" i="17"/>
  <c r="AD28" i="17"/>
  <c r="AD29" i="17"/>
  <c r="AD30" i="17"/>
  <c r="AD31" i="17"/>
  <c r="AD24" i="17"/>
  <c r="W21" i="12"/>
  <c r="AD32" i="17"/>
  <c r="AE25" i="17"/>
  <c r="AE26" i="17"/>
  <c r="AE27" i="17"/>
  <c r="AE28" i="17"/>
  <c r="AE29" i="17"/>
  <c r="AE30" i="17"/>
  <c r="AE31" i="17"/>
  <c r="AE24" i="17"/>
  <c r="X21" i="12"/>
  <c r="AE32" i="17"/>
  <c r="AF25" i="17"/>
  <c r="AF26" i="17"/>
  <c r="AF27" i="17"/>
  <c r="AF28" i="17"/>
  <c r="AF29" i="17"/>
  <c r="AF30" i="17"/>
  <c r="AF31" i="17"/>
  <c r="AF24" i="17"/>
  <c r="Y21" i="12"/>
  <c r="AF32" i="17"/>
  <c r="AG25" i="17"/>
  <c r="AG26" i="17"/>
  <c r="AG27" i="17"/>
  <c r="AG28" i="17"/>
  <c r="AG29" i="17"/>
  <c r="AG30" i="17"/>
  <c r="AG31" i="17"/>
  <c r="AG24" i="17"/>
  <c r="Z21" i="12"/>
  <c r="AG32" i="17"/>
  <c r="X83" i="1"/>
  <c r="W83" i="1"/>
  <c r="V83" i="1"/>
  <c r="U83" i="1"/>
  <c r="T83" i="1"/>
  <c r="S83" i="1"/>
  <c r="R83" i="1"/>
  <c r="Q83" i="1"/>
  <c r="P83" i="1"/>
  <c r="O83" i="1"/>
  <c r="N83" i="1"/>
  <c r="M83" i="1"/>
  <c r="L83" i="1"/>
  <c r="K83" i="1"/>
  <c r="J83" i="1"/>
  <c r="I83" i="1"/>
  <c r="H83" i="1"/>
  <c r="G83" i="1"/>
  <c r="F83" i="1"/>
  <c r="O44" i="17"/>
  <c r="P44" i="17"/>
  <c r="Q44" i="17"/>
  <c r="R44" i="17"/>
  <c r="S44" i="17"/>
  <c r="T44" i="17"/>
  <c r="U44" i="17"/>
  <c r="V44" i="17"/>
  <c r="W44" i="17"/>
  <c r="X44" i="17"/>
  <c r="Y44" i="17"/>
  <c r="Z44" i="17"/>
  <c r="AA44" i="17"/>
  <c r="AB44" i="17"/>
  <c r="AC44" i="17"/>
  <c r="AD44" i="17"/>
  <c r="AE44" i="17"/>
  <c r="AF44" i="17"/>
  <c r="AG44" i="17"/>
  <c r="B11" i="18"/>
  <c r="A11" i="18"/>
  <c r="E46" i="11"/>
  <c r="F46" i="11"/>
  <c r="G46" i="11"/>
  <c r="H46" i="11"/>
  <c r="I46" i="11"/>
  <c r="J46" i="11"/>
  <c r="D46" i="11"/>
  <c r="E35" i="11"/>
  <c r="F35" i="11"/>
  <c r="G35" i="11"/>
  <c r="H35" i="11"/>
  <c r="I35" i="11"/>
  <c r="J35" i="11"/>
  <c r="D35" i="11"/>
  <c r="E20" i="11"/>
  <c r="F20" i="11"/>
  <c r="G20" i="11"/>
  <c r="H20" i="11"/>
  <c r="I20" i="11"/>
  <c r="J20" i="11"/>
  <c r="D20" i="11"/>
  <c r="E9" i="11"/>
  <c r="F9" i="11"/>
  <c r="G9" i="11"/>
  <c r="H9" i="11"/>
  <c r="I9" i="11"/>
  <c r="J9" i="11"/>
  <c r="D9" i="11"/>
  <c r="H9" i="12"/>
  <c r="I9" i="12"/>
  <c r="J9" i="12"/>
  <c r="K9" i="12"/>
  <c r="L9" i="12"/>
  <c r="M9" i="12"/>
  <c r="N9" i="12"/>
  <c r="O9" i="12"/>
  <c r="P9" i="12"/>
  <c r="Q9" i="12"/>
  <c r="R9" i="12"/>
  <c r="S9" i="12"/>
  <c r="T9" i="12"/>
  <c r="U9" i="12"/>
  <c r="V9" i="12"/>
  <c r="W9" i="12"/>
  <c r="X9" i="12"/>
  <c r="Y9" i="12"/>
  <c r="Z9" i="12"/>
  <c r="F55" i="11"/>
  <c r="F42" i="11"/>
  <c r="F30" i="11"/>
  <c r="Q36" i="12"/>
  <c r="Q35" i="12"/>
  <c r="Q34" i="12"/>
  <c r="R6" i="16"/>
  <c r="R71" i="16"/>
  <c r="R9" i="16"/>
  <c r="R72" i="16"/>
  <c r="R21" i="16"/>
  <c r="R88" i="16"/>
  <c r="R36" i="12"/>
  <c r="R35" i="12"/>
  <c r="R34" i="12"/>
  <c r="S6" i="16"/>
  <c r="S71" i="16"/>
  <c r="S9" i="16"/>
  <c r="S72" i="16"/>
  <c r="S21" i="16"/>
  <c r="S88" i="16"/>
  <c r="G35" i="12"/>
  <c r="H7" i="16"/>
  <c r="Z36" i="12"/>
  <c r="I36" i="12"/>
  <c r="E83" i="1"/>
  <c r="G9" i="12"/>
  <c r="G36" i="12"/>
  <c r="L35" i="12"/>
  <c r="J35" i="12"/>
  <c r="G74" i="16"/>
  <c r="G72" i="16"/>
  <c r="G71" i="16"/>
  <c r="Y36" i="12"/>
  <c r="G15" i="12"/>
  <c r="G42" i="12"/>
  <c r="G16" i="12"/>
  <c r="H16" i="12"/>
  <c r="G17" i="12"/>
  <c r="G18" i="12"/>
  <c r="G45" i="12"/>
  <c r="G19" i="12"/>
  <c r="G46" i="12"/>
  <c r="G20" i="12"/>
  <c r="H20" i="12"/>
  <c r="G14" i="12"/>
  <c r="G12" i="12"/>
  <c r="G39" i="12"/>
  <c r="H12" i="12"/>
  <c r="H39" i="12"/>
  <c r="I12" i="12"/>
  <c r="I39" i="12"/>
  <c r="J12" i="12"/>
  <c r="J39" i="12"/>
  <c r="K12" i="12"/>
  <c r="K39" i="12"/>
  <c r="L12" i="12"/>
  <c r="L39" i="12"/>
  <c r="M12" i="12"/>
  <c r="M39" i="12"/>
  <c r="N12" i="12"/>
  <c r="N39" i="12"/>
  <c r="O12" i="12"/>
  <c r="O39" i="12"/>
  <c r="P12" i="12"/>
  <c r="P39" i="12"/>
  <c r="Q12" i="12"/>
  <c r="Q39" i="12"/>
  <c r="R12" i="12"/>
  <c r="R39" i="12"/>
  <c r="S12" i="12"/>
  <c r="S39" i="12"/>
  <c r="T12" i="12"/>
  <c r="T39" i="12"/>
  <c r="U12" i="12"/>
  <c r="U39" i="12"/>
  <c r="V12" i="12"/>
  <c r="V39" i="12"/>
  <c r="W12" i="12"/>
  <c r="W39" i="12"/>
  <c r="X12" i="12"/>
  <c r="X39" i="12"/>
  <c r="Y12" i="12"/>
  <c r="Y39" i="12"/>
  <c r="Z12" i="12"/>
  <c r="Z39" i="12"/>
  <c r="H11" i="12"/>
  <c r="H38" i="12"/>
  <c r="I11" i="12"/>
  <c r="I38" i="12"/>
  <c r="J11" i="12"/>
  <c r="J38" i="12"/>
  <c r="K11" i="12"/>
  <c r="K38" i="12"/>
  <c r="L11" i="12"/>
  <c r="L38" i="12"/>
  <c r="M11" i="12"/>
  <c r="M38" i="12"/>
  <c r="N11" i="12"/>
  <c r="N38" i="12"/>
  <c r="O11" i="12"/>
  <c r="O38" i="12"/>
  <c r="P11" i="12"/>
  <c r="P38" i="12"/>
  <c r="Q11" i="12"/>
  <c r="Q38" i="12"/>
  <c r="R11" i="12"/>
  <c r="R38" i="12"/>
  <c r="S11" i="12"/>
  <c r="S38" i="12"/>
  <c r="T11" i="12"/>
  <c r="T38" i="12"/>
  <c r="U11" i="12"/>
  <c r="U38" i="12"/>
  <c r="V11" i="12"/>
  <c r="V38" i="12"/>
  <c r="W11" i="12"/>
  <c r="W38" i="12"/>
  <c r="X11" i="12"/>
  <c r="X38" i="12"/>
  <c r="Y11" i="12"/>
  <c r="Y38" i="12"/>
  <c r="Z11" i="12"/>
  <c r="Z38" i="12"/>
  <c r="G38" i="12"/>
  <c r="H36" i="12"/>
  <c r="J36" i="12"/>
  <c r="K36" i="12"/>
  <c r="L36" i="12"/>
  <c r="M36" i="12"/>
  <c r="N36" i="12"/>
  <c r="O36" i="12"/>
  <c r="P36" i="12"/>
  <c r="S36" i="12"/>
  <c r="T36" i="12"/>
  <c r="U36" i="12"/>
  <c r="V36" i="12"/>
  <c r="W36" i="12"/>
  <c r="X36" i="12"/>
  <c r="H35" i="12"/>
  <c r="I35" i="12"/>
  <c r="K35" i="12"/>
  <c r="M35" i="12"/>
  <c r="N35" i="12"/>
  <c r="O35" i="12"/>
  <c r="P35" i="12"/>
  <c r="S35" i="12"/>
  <c r="T35" i="12"/>
  <c r="U35" i="12"/>
  <c r="V35" i="12"/>
  <c r="W35" i="12"/>
  <c r="X35" i="12"/>
  <c r="Y35" i="12"/>
  <c r="Z35" i="12"/>
  <c r="H19" i="12"/>
  <c r="H15" i="12"/>
  <c r="G47" i="12"/>
  <c r="G43" i="12"/>
  <c r="G41" i="12"/>
  <c r="H14" i="12"/>
  <c r="G13" i="12"/>
  <c r="G44" i="12"/>
  <c r="H17" i="12"/>
  <c r="H46" i="12"/>
  <c r="I19" i="12"/>
  <c r="H47" i="12"/>
  <c r="I20" i="12"/>
  <c r="H43" i="12"/>
  <c r="I16" i="12"/>
  <c r="I15" i="12"/>
  <c r="H42" i="12"/>
  <c r="H18" i="12"/>
  <c r="I18" i="12"/>
  <c r="H45" i="12"/>
  <c r="J20" i="12"/>
  <c r="I47" i="12"/>
  <c r="J19" i="12"/>
  <c r="I46" i="12"/>
  <c r="H41" i="12"/>
  <c r="I14" i="12"/>
  <c r="J15" i="12"/>
  <c r="I42" i="12"/>
  <c r="H48" i="12"/>
  <c r="J16" i="12"/>
  <c r="I43" i="12"/>
  <c r="H44" i="12"/>
  <c r="I17" i="12"/>
  <c r="I48" i="12"/>
  <c r="K20" i="12"/>
  <c r="J47" i="12"/>
  <c r="I41" i="12"/>
  <c r="J14" i="12"/>
  <c r="I44" i="12"/>
  <c r="J17" i="12"/>
  <c r="K16" i="12"/>
  <c r="J43" i="12"/>
  <c r="K15" i="12"/>
  <c r="J42" i="12"/>
  <c r="K19" i="12"/>
  <c r="J46" i="12"/>
  <c r="J18" i="12"/>
  <c r="I45" i="12"/>
  <c r="K18" i="12"/>
  <c r="J45" i="12"/>
  <c r="L15" i="12"/>
  <c r="K42" i="12"/>
  <c r="L20" i="12"/>
  <c r="K47" i="12"/>
  <c r="K17" i="12"/>
  <c r="J44" i="12"/>
  <c r="J41" i="12"/>
  <c r="K14" i="12"/>
  <c r="L19" i="12"/>
  <c r="K46" i="12"/>
  <c r="L16" i="12"/>
  <c r="K43" i="12"/>
  <c r="J48" i="12"/>
  <c r="K48" i="12"/>
  <c r="M19" i="12"/>
  <c r="L46" i="12"/>
  <c r="L17" i="12"/>
  <c r="K44" i="12"/>
  <c r="M15" i="12"/>
  <c r="L42" i="12"/>
  <c r="L14" i="12"/>
  <c r="K41" i="12"/>
  <c r="M16" i="12"/>
  <c r="L43" i="12"/>
  <c r="M20" i="12"/>
  <c r="L47" i="12"/>
  <c r="L18" i="12"/>
  <c r="K45" i="12"/>
  <c r="M18" i="12"/>
  <c r="L45" i="12"/>
  <c r="N16" i="12"/>
  <c r="M43" i="12"/>
  <c r="N15" i="12"/>
  <c r="M42" i="12"/>
  <c r="N19" i="12"/>
  <c r="M46" i="12"/>
  <c r="L48" i="12"/>
  <c r="N20" i="12"/>
  <c r="M47" i="12"/>
  <c r="M14" i="12"/>
  <c r="L41" i="12"/>
  <c r="M17" i="12"/>
  <c r="L44" i="12"/>
  <c r="N17" i="12"/>
  <c r="M44" i="12"/>
  <c r="O20" i="12"/>
  <c r="N47" i="12"/>
  <c r="O19" i="12"/>
  <c r="N46" i="12"/>
  <c r="O16" i="12"/>
  <c r="N43" i="12"/>
  <c r="N14" i="12"/>
  <c r="M41" i="12"/>
  <c r="M48" i="12"/>
  <c r="O15" i="12"/>
  <c r="N42" i="12"/>
  <c r="N18" i="12"/>
  <c r="M45" i="12"/>
  <c r="O18" i="12"/>
  <c r="N45" i="12"/>
  <c r="N48" i="12"/>
  <c r="P16" i="12"/>
  <c r="O43" i="12"/>
  <c r="P20" i="12"/>
  <c r="O47" i="12"/>
  <c r="P15" i="12"/>
  <c r="O42" i="12"/>
  <c r="O14" i="12"/>
  <c r="N41" i="12"/>
  <c r="P19" i="12"/>
  <c r="O46" i="12"/>
  <c r="O17" i="12"/>
  <c r="N44" i="12"/>
  <c r="P17" i="12"/>
  <c r="O44" i="12"/>
  <c r="P14" i="12"/>
  <c r="O41" i="12"/>
  <c r="Q20" i="12"/>
  <c r="P47" i="12"/>
  <c r="O48" i="12"/>
  <c r="Q19" i="12"/>
  <c r="P46" i="12"/>
  <c r="Q15" i="12"/>
  <c r="P42" i="12"/>
  <c r="Q16" i="12"/>
  <c r="P43" i="12"/>
  <c r="P18" i="12"/>
  <c r="O45" i="12"/>
  <c r="P48" i="12"/>
  <c r="Q18" i="12"/>
  <c r="P45" i="12"/>
  <c r="R15" i="12"/>
  <c r="Q42" i="12"/>
  <c r="Q14" i="12"/>
  <c r="P41" i="12"/>
  <c r="R16" i="12"/>
  <c r="Q43" i="12"/>
  <c r="R19" i="12"/>
  <c r="Q46" i="12"/>
  <c r="R20" i="12"/>
  <c r="Q47" i="12"/>
  <c r="Q17" i="12"/>
  <c r="P44" i="12"/>
  <c r="R17" i="12"/>
  <c r="Q44" i="12"/>
  <c r="S19" i="12"/>
  <c r="R46" i="12"/>
  <c r="R14" i="12"/>
  <c r="Q41" i="12"/>
  <c r="R18" i="12"/>
  <c r="Q45" i="12"/>
  <c r="S20" i="12"/>
  <c r="R47" i="12"/>
  <c r="S16" i="12"/>
  <c r="R43" i="12"/>
  <c r="S15" i="12"/>
  <c r="R42" i="12"/>
  <c r="Q48" i="12"/>
  <c r="R48" i="12"/>
  <c r="T16" i="12"/>
  <c r="S43" i="12"/>
  <c r="S18" i="12"/>
  <c r="R45" i="12"/>
  <c r="T19" i="12"/>
  <c r="S46" i="12"/>
  <c r="T15" i="12"/>
  <c r="S42" i="12"/>
  <c r="T20" i="12"/>
  <c r="S47" i="12"/>
  <c r="S14" i="12"/>
  <c r="R41" i="12"/>
  <c r="S17" i="12"/>
  <c r="R44" i="12"/>
  <c r="T17" i="12"/>
  <c r="S44" i="12"/>
  <c r="U20" i="12"/>
  <c r="T47" i="12"/>
  <c r="U19" i="12"/>
  <c r="T46" i="12"/>
  <c r="U16" i="12"/>
  <c r="T43" i="12"/>
  <c r="S48" i="12"/>
  <c r="T14" i="12"/>
  <c r="S41" i="12"/>
  <c r="U15" i="12"/>
  <c r="T42" i="12"/>
  <c r="T18" i="12"/>
  <c r="S45" i="12"/>
  <c r="U18" i="12"/>
  <c r="T45" i="12"/>
  <c r="U14" i="12"/>
  <c r="T41" i="12"/>
  <c r="V16" i="12"/>
  <c r="U43" i="12"/>
  <c r="V20" i="12"/>
  <c r="U47" i="12"/>
  <c r="V15" i="12"/>
  <c r="U42" i="12"/>
  <c r="T48" i="12"/>
  <c r="V19" i="12"/>
  <c r="U46" i="12"/>
  <c r="U17" i="12"/>
  <c r="T44" i="12"/>
  <c r="V17" i="12"/>
  <c r="U44" i="12"/>
  <c r="U48" i="12"/>
  <c r="W20" i="12"/>
  <c r="V47" i="12"/>
  <c r="V14" i="12"/>
  <c r="U41" i="12"/>
  <c r="W19" i="12"/>
  <c r="V46" i="12"/>
  <c r="W15" i="12"/>
  <c r="V42" i="12"/>
  <c r="W16" i="12"/>
  <c r="V43" i="12"/>
  <c r="V18" i="12"/>
  <c r="U45" i="12"/>
  <c r="W18" i="12"/>
  <c r="V45" i="12"/>
  <c r="X15" i="12"/>
  <c r="W42" i="12"/>
  <c r="W14" i="12"/>
  <c r="V41" i="12"/>
  <c r="V48" i="12"/>
  <c r="X16" i="12"/>
  <c r="W43" i="12"/>
  <c r="X19" i="12"/>
  <c r="W46" i="12"/>
  <c r="X20" i="12"/>
  <c r="W47" i="12"/>
  <c r="W17" i="12"/>
  <c r="V44" i="12"/>
  <c r="X17" i="12"/>
  <c r="W44" i="12"/>
  <c r="Y19" i="12"/>
  <c r="X46" i="12"/>
  <c r="W48" i="12"/>
  <c r="Y15" i="12"/>
  <c r="X42" i="12"/>
  <c r="Y20" i="12"/>
  <c r="X47" i="12"/>
  <c r="Y16" i="12"/>
  <c r="X43" i="12"/>
  <c r="X14" i="12"/>
  <c r="W41" i="12"/>
  <c r="X18" i="12"/>
  <c r="W45" i="12"/>
  <c r="Y18" i="12"/>
  <c r="X45" i="12"/>
  <c r="Z16" i="12"/>
  <c r="Y43" i="12"/>
  <c r="Z15" i="12"/>
  <c r="Y42" i="12"/>
  <c r="Z19" i="12"/>
  <c r="Y46" i="12"/>
  <c r="X48" i="12"/>
  <c r="Y14" i="12"/>
  <c r="X41" i="12"/>
  <c r="Z20" i="12"/>
  <c r="Y47" i="12"/>
  <c r="Y17" i="12"/>
  <c r="X44" i="12"/>
  <c r="Z17" i="12"/>
  <c r="Y44" i="12"/>
  <c r="Z14" i="12"/>
  <c r="Y41" i="12"/>
  <c r="Z46" i="12"/>
  <c r="Z43" i="12"/>
  <c r="Z47" i="12"/>
  <c r="Y48" i="12"/>
  <c r="Z42" i="12"/>
  <c r="Z18" i="12"/>
  <c r="Y45" i="12"/>
  <c r="Z48" i="12"/>
  <c r="Z45" i="12"/>
  <c r="Z41" i="12"/>
  <c r="Z44" i="12"/>
  <c r="E47" i="4"/>
  <c r="K49" i="2"/>
  <c r="J56" i="2"/>
  <c r="H56" i="2"/>
  <c r="D52" i="2"/>
  <c r="E54" i="2"/>
  <c r="C10" i="3"/>
  <c r="H25" i="16"/>
  <c r="G43" i="16"/>
  <c r="H43" i="16"/>
  <c r="I43" i="16"/>
  <c r="J43" i="16"/>
  <c r="K43" i="16"/>
  <c r="L43" i="16"/>
  <c r="M43" i="16"/>
  <c r="N43" i="16"/>
  <c r="O43" i="16"/>
  <c r="P43" i="16"/>
  <c r="Q43" i="16"/>
  <c r="R43" i="16"/>
  <c r="S43" i="16"/>
  <c r="T43" i="16"/>
  <c r="U43" i="16"/>
  <c r="V43" i="16"/>
  <c r="W43" i="16"/>
  <c r="X43" i="16"/>
  <c r="Y43" i="16"/>
  <c r="Z43" i="16"/>
  <c r="AA43" i="16"/>
  <c r="G44" i="16"/>
  <c r="G45" i="16"/>
  <c r="H45" i="16"/>
  <c r="I45" i="16"/>
  <c r="J45" i="16"/>
  <c r="K45" i="16"/>
  <c r="L45" i="16"/>
  <c r="M45" i="16"/>
  <c r="N45" i="16"/>
  <c r="O45" i="16"/>
  <c r="P45" i="16"/>
  <c r="Q45" i="16"/>
  <c r="R45" i="16"/>
  <c r="S45" i="16"/>
  <c r="T45" i="16"/>
  <c r="U45" i="16"/>
  <c r="V45" i="16"/>
  <c r="W45" i="16"/>
  <c r="X45" i="16"/>
  <c r="Y45" i="16"/>
  <c r="Z45" i="16"/>
  <c r="AA45" i="16"/>
  <c r="G46" i="16"/>
  <c r="H46" i="16"/>
  <c r="I46" i="16"/>
  <c r="J46" i="16"/>
  <c r="K46" i="16"/>
  <c r="L46" i="16"/>
  <c r="M46" i="16"/>
  <c r="N46" i="16"/>
  <c r="O46" i="16"/>
  <c r="P46" i="16"/>
  <c r="Q46" i="16"/>
  <c r="R46" i="16"/>
  <c r="S46" i="16"/>
  <c r="T46" i="16"/>
  <c r="U46" i="16"/>
  <c r="V46" i="16"/>
  <c r="W46" i="16"/>
  <c r="X46" i="16"/>
  <c r="Y46" i="16"/>
  <c r="Z46" i="16"/>
  <c r="AA46" i="16"/>
  <c r="G42" i="16"/>
  <c r="H42" i="16"/>
  <c r="G29" i="16"/>
  <c r="K7" i="16"/>
  <c r="M7" i="16"/>
  <c r="S7" i="16"/>
  <c r="U7" i="16"/>
  <c r="AA7" i="16"/>
  <c r="I8" i="16"/>
  <c r="O8" i="16"/>
  <c r="Q8" i="16"/>
  <c r="W8" i="16"/>
  <c r="Y8" i="16"/>
  <c r="I10" i="16"/>
  <c r="O10" i="16"/>
  <c r="Q10" i="16"/>
  <c r="W10" i="16"/>
  <c r="Y10" i="16"/>
  <c r="K11" i="16"/>
  <c r="M11" i="16"/>
  <c r="S11" i="16"/>
  <c r="U11" i="16"/>
  <c r="AA11" i="16"/>
  <c r="K13" i="16"/>
  <c r="M13" i="16"/>
  <c r="S13" i="16"/>
  <c r="U13" i="16"/>
  <c r="AA13" i="16"/>
  <c r="I14" i="16"/>
  <c r="O14" i="16"/>
  <c r="Q14" i="16"/>
  <c r="W14" i="16"/>
  <c r="Y14" i="16"/>
  <c r="K15" i="16"/>
  <c r="M15" i="16"/>
  <c r="S15" i="16"/>
  <c r="U15" i="16"/>
  <c r="AA15" i="16"/>
  <c r="I16" i="16"/>
  <c r="O16" i="16"/>
  <c r="Q16" i="16"/>
  <c r="W16" i="16"/>
  <c r="Y16" i="16"/>
  <c r="K17" i="16"/>
  <c r="M17" i="16"/>
  <c r="S17" i="16"/>
  <c r="U17" i="16"/>
  <c r="AA17" i="16"/>
  <c r="I18" i="16"/>
  <c r="O18" i="16"/>
  <c r="Q18" i="16"/>
  <c r="W18" i="16"/>
  <c r="Y18" i="16"/>
  <c r="K19" i="16"/>
  <c r="M19" i="16"/>
  <c r="S19" i="16"/>
  <c r="U19" i="16"/>
  <c r="AA19" i="16"/>
  <c r="I20" i="16"/>
  <c r="I25" i="16"/>
  <c r="H48" i="16"/>
  <c r="O20" i="16"/>
  <c r="O25" i="16"/>
  <c r="Q20" i="16"/>
  <c r="Q25" i="16"/>
  <c r="W20" i="16"/>
  <c r="W25" i="16"/>
  <c r="Y20" i="16"/>
  <c r="Y25" i="16"/>
  <c r="T21" i="16"/>
  <c r="U21" i="16"/>
  <c r="V21" i="16"/>
  <c r="W21" i="16"/>
  <c r="X21" i="16"/>
  <c r="Y21" i="16"/>
  <c r="Z21" i="16"/>
  <c r="AA21" i="16"/>
  <c r="I7" i="16"/>
  <c r="J7" i="16"/>
  <c r="L7" i="16"/>
  <c r="N7" i="16"/>
  <c r="O7" i="16"/>
  <c r="P7" i="16"/>
  <c r="Q7" i="16"/>
  <c r="R7" i="16"/>
  <c r="T7" i="16"/>
  <c r="V7" i="16"/>
  <c r="W7" i="16"/>
  <c r="X7" i="16"/>
  <c r="Y7" i="16"/>
  <c r="Z7" i="16"/>
  <c r="H8" i="16"/>
  <c r="J8" i="16"/>
  <c r="K8" i="16"/>
  <c r="L8" i="16"/>
  <c r="M8" i="16"/>
  <c r="N8" i="16"/>
  <c r="P8" i="16"/>
  <c r="R8" i="16"/>
  <c r="S8" i="16"/>
  <c r="T8" i="16"/>
  <c r="U8" i="16"/>
  <c r="V8" i="16"/>
  <c r="X8" i="16"/>
  <c r="Z8" i="16"/>
  <c r="AA8" i="16"/>
  <c r="H10" i="16"/>
  <c r="J10" i="16"/>
  <c r="K10" i="16"/>
  <c r="L10" i="16"/>
  <c r="M10" i="16"/>
  <c r="N10" i="16"/>
  <c r="P10" i="16"/>
  <c r="R10" i="16"/>
  <c r="S10" i="16"/>
  <c r="T10" i="16"/>
  <c r="U10" i="16"/>
  <c r="V10" i="16"/>
  <c r="X10" i="16"/>
  <c r="Z10" i="16"/>
  <c r="AA10" i="16"/>
  <c r="H11" i="16"/>
  <c r="I11" i="16"/>
  <c r="J11" i="16"/>
  <c r="L11" i="16"/>
  <c r="N11" i="16"/>
  <c r="O11" i="16"/>
  <c r="P11" i="16"/>
  <c r="Q11" i="16"/>
  <c r="R11" i="16"/>
  <c r="T11" i="16"/>
  <c r="V11" i="16"/>
  <c r="W11" i="16"/>
  <c r="X11" i="16"/>
  <c r="Y11" i="16"/>
  <c r="Z11" i="16"/>
  <c r="H13" i="16"/>
  <c r="I13" i="16"/>
  <c r="J13" i="16"/>
  <c r="L13" i="16"/>
  <c r="N13" i="16"/>
  <c r="O13" i="16"/>
  <c r="P13" i="16"/>
  <c r="Q13" i="16"/>
  <c r="R13" i="16"/>
  <c r="T13" i="16"/>
  <c r="V13" i="16"/>
  <c r="W13" i="16"/>
  <c r="X13" i="16"/>
  <c r="Y13" i="16"/>
  <c r="Z13" i="16"/>
  <c r="H14" i="16"/>
  <c r="J14" i="16"/>
  <c r="K14" i="16"/>
  <c r="L14" i="16"/>
  <c r="M14" i="16"/>
  <c r="N14" i="16"/>
  <c r="P14" i="16"/>
  <c r="R14" i="16"/>
  <c r="S14" i="16"/>
  <c r="T14" i="16"/>
  <c r="U14" i="16"/>
  <c r="V14" i="16"/>
  <c r="X14" i="16"/>
  <c r="Z14" i="16"/>
  <c r="AA14" i="16"/>
  <c r="H15" i="16"/>
  <c r="I15" i="16"/>
  <c r="J15" i="16"/>
  <c r="L15" i="16"/>
  <c r="N15" i="16"/>
  <c r="O15" i="16"/>
  <c r="P15" i="16"/>
  <c r="Q15" i="16"/>
  <c r="R15" i="16"/>
  <c r="T15" i="16"/>
  <c r="V15" i="16"/>
  <c r="W15" i="16"/>
  <c r="X15" i="16"/>
  <c r="Y15" i="16"/>
  <c r="Z15" i="16"/>
  <c r="H16" i="16"/>
  <c r="J16" i="16"/>
  <c r="K16" i="16"/>
  <c r="L16" i="16"/>
  <c r="M16" i="16"/>
  <c r="N16" i="16"/>
  <c r="P16" i="16"/>
  <c r="R16" i="16"/>
  <c r="S16" i="16"/>
  <c r="T16" i="16"/>
  <c r="U16" i="16"/>
  <c r="V16" i="16"/>
  <c r="X16" i="16"/>
  <c r="Z16" i="16"/>
  <c r="AA16" i="16"/>
  <c r="H17" i="16"/>
  <c r="I17" i="16"/>
  <c r="J17" i="16"/>
  <c r="L17" i="16"/>
  <c r="N17" i="16"/>
  <c r="O17" i="16"/>
  <c r="P17" i="16"/>
  <c r="Q17" i="16"/>
  <c r="R17" i="16"/>
  <c r="T17" i="16"/>
  <c r="V17" i="16"/>
  <c r="W17" i="16"/>
  <c r="X17" i="16"/>
  <c r="Y17" i="16"/>
  <c r="Z17" i="16"/>
  <c r="H18" i="16"/>
  <c r="J18" i="16"/>
  <c r="K18" i="16"/>
  <c r="L18" i="16"/>
  <c r="M18" i="16"/>
  <c r="N18" i="16"/>
  <c r="P18" i="16"/>
  <c r="R18" i="16"/>
  <c r="S18" i="16"/>
  <c r="T18" i="16"/>
  <c r="U18" i="16"/>
  <c r="V18" i="16"/>
  <c r="X18" i="16"/>
  <c r="Z18" i="16"/>
  <c r="AA18" i="16"/>
  <c r="H19" i="16"/>
  <c r="I19" i="16"/>
  <c r="J19" i="16"/>
  <c r="L19" i="16"/>
  <c r="N19" i="16"/>
  <c r="O19" i="16"/>
  <c r="P19" i="16"/>
  <c r="Q19" i="16"/>
  <c r="R19" i="16"/>
  <c r="T19" i="16"/>
  <c r="V19" i="16"/>
  <c r="W19" i="16"/>
  <c r="X19" i="16"/>
  <c r="Y19" i="16"/>
  <c r="Z19" i="16"/>
  <c r="H20" i="16"/>
  <c r="J20" i="16"/>
  <c r="J25" i="16"/>
  <c r="K20" i="16"/>
  <c r="K25" i="16"/>
  <c r="L20" i="16"/>
  <c r="L25" i="16"/>
  <c r="M20" i="16"/>
  <c r="M25" i="16"/>
  <c r="N20" i="16"/>
  <c r="N25" i="16"/>
  <c r="P20" i="16"/>
  <c r="P25" i="16"/>
  <c r="R20" i="16"/>
  <c r="R25" i="16"/>
  <c r="S20" i="16"/>
  <c r="S25" i="16"/>
  <c r="T20" i="16"/>
  <c r="T25" i="16"/>
  <c r="U20" i="16"/>
  <c r="U25" i="16"/>
  <c r="V20" i="16"/>
  <c r="V25" i="16"/>
  <c r="X20" i="16"/>
  <c r="X25" i="16"/>
  <c r="Z20" i="16"/>
  <c r="Z25" i="16"/>
  <c r="AA20" i="16"/>
  <c r="AA25" i="16"/>
  <c r="I48" i="16"/>
  <c r="J48" i="16"/>
  <c r="K48" i="16"/>
  <c r="L48" i="16"/>
  <c r="M48" i="16"/>
  <c r="N48" i="16"/>
  <c r="O48" i="16"/>
  <c r="P48" i="16"/>
  <c r="Q48" i="16"/>
  <c r="R48" i="16"/>
  <c r="S48" i="16"/>
  <c r="T48" i="16"/>
  <c r="U48" i="16"/>
  <c r="V48" i="16"/>
  <c r="W48" i="16"/>
  <c r="X48" i="16"/>
  <c r="G34" i="12"/>
  <c r="H6" i="16"/>
  <c r="H71" i="16"/>
  <c r="G41" i="16"/>
  <c r="I42" i="16"/>
  <c r="H44" i="16"/>
  <c r="I44" i="16"/>
  <c r="J44" i="16"/>
  <c r="K44" i="16"/>
  <c r="L44" i="16"/>
  <c r="M44" i="16"/>
  <c r="N44" i="16"/>
  <c r="O44" i="16"/>
  <c r="P44" i="16"/>
  <c r="Q44" i="16"/>
  <c r="R44" i="16"/>
  <c r="S44" i="16"/>
  <c r="T44" i="16"/>
  <c r="U44" i="16"/>
  <c r="V44" i="16"/>
  <c r="W44" i="16"/>
  <c r="X44" i="16"/>
  <c r="Y44" i="16"/>
  <c r="Z44" i="16"/>
  <c r="AA44" i="16"/>
  <c r="T40" i="12"/>
  <c r="U12" i="16"/>
  <c r="L40" i="12"/>
  <c r="M12" i="16"/>
  <c r="X37" i="12"/>
  <c r="Y9" i="16"/>
  <c r="P37" i="12"/>
  <c r="Q9" i="16"/>
  <c r="H37" i="12"/>
  <c r="I9" i="16"/>
  <c r="T34" i="12"/>
  <c r="L34" i="12"/>
  <c r="T13" i="12"/>
  <c r="H13" i="12"/>
  <c r="W40" i="12"/>
  <c r="X12" i="16"/>
  <c r="O40" i="12"/>
  <c r="K40" i="12"/>
  <c r="L12" i="16"/>
  <c r="W37" i="12"/>
  <c r="X9" i="16"/>
  <c r="O37" i="12"/>
  <c r="P9" i="16"/>
  <c r="K37" i="12"/>
  <c r="W34" i="12"/>
  <c r="O34" i="12"/>
  <c r="K34" i="12"/>
  <c r="W13" i="12"/>
  <c r="S13" i="12"/>
  <c r="K13" i="12"/>
  <c r="Z40" i="12"/>
  <c r="AA12" i="16"/>
  <c r="V40" i="12"/>
  <c r="W12" i="16"/>
  <c r="R40" i="12"/>
  <c r="N40" i="12"/>
  <c r="O12" i="16"/>
  <c r="J40" i="12"/>
  <c r="K12" i="16"/>
  <c r="Z37" i="12"/>
  <c r="AA9" i="16"/>
  <c r="V37" i="12"/>
  <c r="R37" i="12"/>
  <c r="N37" i="12"/>
  <c r="O9" i="16"/>
  <c r="J37" i="12"/>
  <c r="K9" i="16"/>
  <c r="Z34" i="12"/>
  <c r="V34" i="12"/>
  <c r="N34" i="12"/>
  <c r="J34" i="12"/>
  <c r="Z13" i="12"/>
  <c r="V13" i="12"/>
  <c r="R13" i="12"/>
  <c r="N13" i="12"/>
  <c r="J13" i="12"/>
  <c r="X40" i="12"/>
  <c r="Y12" i="16"/>
  <c r="P40" i="12"/>
  <c r="Q12" i="16"/>
  <c r="H40" i="12"/>
  <c r="I12" i="16"/>
  <c r="T37" i="12"/>
  <c r="U9" i="16"/>
  <c r="L37" i="12"/>
  <c r="M9" i="16"/>
  <c r="X34" i="12"/>
  <c r="P34" i="12"/>
  <c r="H34" i="12"/>
  <c r="X13" i="12"/>
  <c r="P13" i="12"/>
  <c r="L13" i="12"/>
  <c r="S40" i="12"/>
  <c r="T12" i="16"/>
  <c r="G40" i="12"/>
  <c r="H12" i="16"/>
  <c r="S37" i="12"/>
  <c r="T9" i="16"/>
  <c r="G37" i="12"/>
  <c r="H9" i="16"/>
  <c r="S34" i="12"/>
  <c r="O13" i="12"/>
  <c r="Y40" i="12"/>
  <c r="Z12" i="16"/>
  <c r="U40" i="12"/>
  <c r="V12" i="16"/>
  <c r="Q40" i="12"/>
  <c r="R12" i="16"/>
  <c r="M40" i="12"/>
  <c r="N12" i="16"/>
  <c r="I40" i="12"/>
  <c r="J12" i="16"/>
  <c r="Y37" i="12"/>
  <c r="Z9" i="16"/>
  <c r="U37" i="12"/>
  <c r="V9" i="16"/>
  <c r="Q37" i="12"/>
  <c r="M37" i="12"/>
  <c r="I37" i="12"/>
  <c r="J9" i="16"/>
  <c r="Y34" i="12"/>
  <c r="U34" i="12"/>
  <c r="M34" i="12"/>
  <c r="I34" i="12"/>
  <c r="Y13" i="12"/>
  <c r="U13" i="12"/>
  <c r="Q13" i="12"/>
  <c r="M13" i="12"/>
  <c r="I13" i="12"/>
  <c r="Q50" i="12"/>
  <c r="H72" i="16"/>
  <c r="H79" i="16"/>
  <c r="X50" i="12"/>
  <c r="Y48" i="16"/>
  <c r="Z48" i="16"/>
  <c r="AA48" i="16"/>
  <c r="I6" i="16"/>
  <c r="I71" i="16"/>
  <c r="I72" i="16"/>
  <c r="I79" i="16"/>
  <c r="P6" i="16"/>
  <c r="P71" i="16"/>
  <c r="P72" i="16"/>
  <c r="P79" i="16"/>
  <c r="V6" i="16"/>
  <c r="V71" i="16"/>
  <c r="V72" i="16"/>
  <c r="U50" i="12"/>
  <c r="Q6" i="16"/>
  <c r="Q71" i="16"/>
  <c r="Q72" i="16"/>
  <c r="Q79" i="16"/>
  <c r="W6" i="16"/>
  <c r="W71" i="16"/>
  <c r="V50" i="12"/>
  <c r="X6" i="16"/>
  <c r="X71" i="16"/>
  <c r="X72" i="16"/>
  <c r="W50" i="12"/>
  <c r="X22" i="16"/>
  <c r="T6" i="16"/>
  <c r="T71" i="16"/>
  <c r="T72" i="16"/>
  <c r="S50" i="12"/>
  <c r="T22" i="16"/>
  <c r="J6" i="16"/>
  <c r="J71" i="16"/>
  <c r="J72" i="16"/>
  <c r="J79" i="16"/>
  <c r="Z6" i="16"/>
  <c r="Z71" i="16"/>
  <c r="Z72" i="16"/>
  <c r="Y50" i="12"/>
  <c r="Z22" i="16"/>
  <c r="Z50" i="12"/>
  <c r="AA22" i="16"/>
  <c r="R50" i="12"/>
  <c r="N6" i="16"/>
  <c r="N71" i="16"/>
  <c r="O6" i="16"/>
  <c r="O71" i="16"/>
  <c r="O72" i="16"/>
  <c r="O79" i="16"/>
  <c r="L6" i="16"/>
  <c r="L71" i="16"/>
  <c r="L9" i="16"/>
  <c r="L72" i="16"/>
  <c r="L79" i="16"/>
  <c r="U6" i="16"/>
  <c r="U71" i="16"/>
  <c r="U72" i="16"/>
  <c r="T50" i="12"/>
  <c r="U22" i="16"/>
  <c r="E5" i="10"/>
  <c r="V22" i="16"/>
  <c r="Y22" i="16"/>
  <c r="Y6" i="16"/>
  <c r="Y71" i="16"/>
  <c r="Y72" i="16"/>
  <c r="K6" i="16"/>
  <c r="K71" i="16"/>
  <c r="K72" i="16"/>
  <c r="K79" i="16"/>
  <c r="AA6" i="16"/>
  <c r="W22" i="16"/>
  <c r="W9" i="16"/>
  <c r="S22" i="16"/>
  <c r="S12" i="16"/>
  <c r="P12" i="16"/>
  <c r="M6" i="16"/>
  <c r="M71" i="16"/>
  <c r="M72" i="16"/>
  <c r="M79" i="16"/>
  <c r="R22" i="16"/>
  <c r="N9" i="16"/>
  <c r="I41" i="16"/>
  <c r="H41" i="16"/>
  <c r="J42" i="16"/>
  <c r="J41" i="16"/>
  <c r="D5" i="10"/>
  <c r="T5" i="10"/>
  <c r="M5" i="10"/>
  <c r="J5" i="10"/>
  <c r="S5" i="10"/>
  <c r="H5" i="10"/>
  <c r="Q5" i="10"/>
  <c r="N5" i="10"/>
  <c r="G5" i="10"/>
  <c r="W5" i="10"/>
  <c r="L5" i="10"/>
  <c r="U5" i="10"/>
  <c r="R5" i="10"/>
  <c r="K5" i="10"/>
  <c r="P5" i="10"/>
  <c r="I5" i="10"/>
  <c r="F5" i="10"/>
  <c r="V5" i="10"/>
  <c r="O5" i="10"/>
  <c r="AA71" i="16"/>
  <c r="AA72" i="16"/>
  <c r="AA79" i="16"/>
  <c r="N72" i="16"/>
  <c r="N79" i="16"/>
  <c r="W72" i="16"/>
  <c r="Z79" i="16"/>
  <c r="Y79" i="16"/>
  <c r="X79" i="16"/>
  <c r="W79" i="16"/>
  <c r="V79" i="16"/>
  <c r="U79" i="16"/>
  <c r="T79" i="16"/>
  <c r="S79" i="16"/>
  <c r="R79" i="16"/>
  <c r="W51" i="12"/>
  <c r="Q51" i="12"/>
  <c r="R23" i="16"/>
  <c r="R51" i="12"/>
  <c r="S23" i="16"/>
  <c r="Z51" i="12"/>
  <c r="AA23" i="16"/>
  <c r="Y51" i="12"/>
  <c r="Z23" i="16"/>
  <c r="X51" i="12"/>
  <c r="Y23" i="16"/>
  <c r="U51" i="12"/>
  <c r="V23" i="16"/>
  <c r="V51" i="12"/>
  <c r="W23" i="16"/>
  <c r="S51" i="12"/>
  <c r="T23" i="16"/>
  <c r="T51" i="12"/>
  <c r="W52" i="12"/>
  <c r="X24" i="16"/>
  <c r="X74" i="16"/>
  <c r="X81" i="16"/>
  <c r="X23" i="16"/>
  <c r="K42" i="16"/>
  <c r="K41" i="16"/>
  <c r="X52" i="12"/>
  <c r="Y24" i="16"/>
  <c r="Y52" i="12"/>
  <c r="Z24" i="16"/>
  <c r="Q52" i="12"/>
  <c r="R24" i="16"/>
  <c r="Z52" i="12"/>
  <c r="AA24" i="16"/>
  <c r="R52" i="12"/>
  <c r="S24" i="16"/>
  <c r="S74" i="16"/>
  <c r="S81" i="16"/>
  <c r="U52" i="12"/>
  <c r="V24" i="16"/>
  <c r="V52" i="12"/>
  <c r="W24" i="16"/>
  <c r="S52" i="12"/>
  <c r="T24" i="16"/>
  <c r="S30" i="16"/>
  <c r="S73" i="16"/>
  <c r="S80" i="16"/>
  <c r="X30" i="16"/>
  <c r="X73" i="16"/>
  <c r="X80" i="16"/>
  <c r="T52" i="12"/>
  <c r="U24" i="16"/>
  <c r="U74" i="16"/>
  <c r="U81" i="16"/>
  <c r="U23" i="16"/>
  <c r="L42" i="16"/>
  <c r="L41" i="16"/>
  <c r="AA30" i="16"/>
  <c r="AA73" i="16"/>
  <c r="AA80" i="16"/>
  <c r="AA74" i="16"/>
  <c r="AA81" i="16"/>
  <c r="Z30" i="16"/>
  <c r="Z73" i="16"/>
  <c r="Z80" i="16"/>
  <c r="Z74" i="16"/>
  <c r="Z81" i="16"/>
  <c r="Y30" i="16"/>
  <c r="Y73" i="16"/>
  <c r="Y80" i="16"/>
  <c r="Y74" i="16"/>
  <c r="Y81" i="16"/>
  <c r="W30" i="16"/>
  <c r="W73" i="16"/>
  <c r="W80" i="16"/>
  <c r="W74" i="16"/>
  <c r="W81" i="16"/>
  <c r="V30" i="16"/>
  <c r="V73" i="16"/>
  <c r="V80" i="16"/>
  <c r="V74" i="16"/>
  <c r="V81" i="16"/>
  <c r="T30" i="16"/>
  <c r="T73" i="16"/>
  <c r="T80" i="16"/>
  <c r="T74" i="16"/>
  <c r="T81" i="16"/>
  <c r="R30" i="16"/>
  <c r="R73" i="16"/>
  <c r="R80" i="16"/>
  <c r="R74" i="16"/>
  <c r="R81" i="16"/>
  <c r="U30" i="16"/>
  <c r="U73" i="16"/>
  <c r="U80" i="16"/>
  <c r="M42" i="16"/>
  <c r="M41" i="16"/>
  <c r="N42" i="16"/>
  <c r="N41" i="16"/>
  <c r="O42" i="16"/>
  <c r="O41" i="16"/>
  <c r="P42" i="16"/>
  <c r="P41" i="16"/>
  <c r="Q42" i="16"/>
  <c r="Q41" i="16"/>
  <c r="R42" i="16"/>
  <c r="R41" i="16"/>
  <c r="S42" i="16"/>
  <c r="S41" i="16"/>
  <c r="T42" i="16"/>
  <c r="T41" i="16"/>
  <c r="U42" i="16"/>
  <c r="U41" i="16"/>
  <c r="V42" i="16"/>
  <c r="V41" i="16"/>
  <c r="W42" i="16"/>
  <c r="W41" i="16"/>
  <c r="X42" i="16"/>
  <c r="X41" i="16"/>
  <c r="C10" i="7"/>
  <c r="Y42" i="16"/>
  <c r="Y41" i="16"/>
  <c r="H55" i="2"/>
  <c r="H54" i="2"/>
  <c r="H53" i="2"/>
  <c r="H48" i="2"/>
  <c r="D54" i="2"/>
  <c r="F54" i="2"/>
  <c r="G54" i="2"/>
  <c r="C54" i="2"/>
  <c r="D53" i="2"/>
  <c r="E53" i="2"/>
  <c r="F53" i="2"/>
  <c r="G53" i="2"/>
  <c r="C53" i="2"/>
  <c r="K50" i="2"/>
  <c r="E12" i="3"/>
  <c r="E51" i="4"/>
  <c r="E50" i="4"/>
  <c r="E49" i="4"/>
  <c r="E48" i="4"/>
  <c r="C26" i="4"/>
  <c r="C25" i="4"/>
  <c r="C24" i="4"/>
  <c r="C23" i="4"/>
  <c r="C22" i="4"/>
  <c r="C21" i="4"/>
  <c r="C20" i="4"/>
  <c r="C19" i="4"/>
  <c r="C18" i="4"/>
  <c r="C17" i="4"/>
  <c r="C16" i="4"/>
  <c r="I13" i="4"/>
  <c r="C15" i="4"/>
  <c r="C14" i="4"/>
  <c r="C13" i="4"/>
  <c r="C12" i="4"/>
  <c r="C11" i="4"/>
  <c r="C10" i="4"/>
  <c r="C9" i="4"/>
  <c r="C8" i="4"/>
  <c r="C7" i="4"/>
  <c r="C6" i="4"/>
  <c r="C24" i="2"/>
  <c r="C25" i="2"/>
  <c r="C26" i="2"/>
  <c r="C27" i="2"/>
  <c r="C28" i="2"/>
  <c r="C29" i="2"/>
  <c r="C30" i="2"/>
  <c r="C31" i="2"/>
  <c r="C32" i="2"/>
  <c r="C33" i="2"/>
  <c r="C34" i="2"/>
  <c r="C35" i="2"/>
  <c r="C36" i="2"/>
  <c r="C37" i="2"/>
  <c r="C38" i="2"/>
  <c r="C39" i="2"/>
  <c r="C40" i="2"/>
  <c r="C21" i="2"/>
  <c r="F84" i="1"/>
  <c r="G84" i="1"/>
  <c r="H84" i="1"/>
  <c r="I84" i="1"/>
  <c r="J84" i="1"/>
  <c r="K84" i="1"/>
  <c r="L84" i="1"/>
  <c r="M84" i="1"/>
  <c r="N84" i="1"/>
  <c r="O84" i="1"/>
  <c r="P84" i="1"/>
  <c r="Q84" i="1"/>
  <c r="R84" i="1"/>
  <c r="S84" i="1"/>
  <c r="T84" i="1"/>
  <c r="U84" i="1"/>
  <c r="V84" i="1"/>
  <c r="W84" i="1"/>
  <c r="X84" i="1"/>
  <c r="E84" i="1"/>
  <c r="P54" i="1"/>
  <c r="L55" i="1"/>
  <c r="L56" i="1"/>
  <c r="H58" i="1"/>
  <c r="H59" i="1"/>
  <c r="H60" i="1"/>
  <c r="H61" i="1"/>
  <c r="H62" i="1"/>
  <c r="H63" i="1"/>
  <c r="H64" i="1"/>
  <c r="H65" i="1"/>
  <c r="H66" i="1"/>
  <c r="H67" i="1"/>
  <c r="H68" i="1"/>
  <c r="H69" i="1"/>
  <c r="H70" i="1"/>
  <c r="H71" i="1"/>
  <c r="H72" i="1"/>
  <c r="H73" i="1"/>
  <c r="H57" i="1"/>
  <c r="H56" i="1"/>
  <c r="H55" i="1"/>
  <c r="H54" i="1"/>
  <c r="C54" i="1"/>
  <c r="C55" i="1"/>
  <c r="C56" i="1"/>
  <c r="C57" i="1"/>
  <c r="C58" i="1"/>
  <c r="C59" i="1"/>
  <c r="C60" i="1"/>
  <c r="C61" i="1"/>
  <c r="C62" i="1"/>
  <c r="C63" i="1"/>
  <c r="C64" i="1"/>
  <c r="C65" i="1"/>
  <c r="C66" i="1"/>
  <c r="C67" i="1"/>
  <c r="C68" i="1"/>
  <c r="C69" i="1"/>
  <c r="C70" i="1"/>
  <c r="C71" i="1"/>
  <c r="C72" i="1"/>
  <c r="D28" i="1"/>
  <c r="D29" i="1"/>
  <c r="D30" i="1"/>
  <c r="Y14" i="1"/>
  <c r="Y15" i="1"/>
  <c r="Y16" i="1"/>
  <c r="Y18" i="1"/>
  <c r="Y19" i="1"/>
  <c r="J14" i="1"/>
  <c r="J15" i="1"/>
  <c r="K14" i="1"/>
  <c r="L14" i="1"/>
  <c r="L15" i="1"/>
  <c r="L16" i="1"/>
  <c r="L18" i="1"/>
  <c r="L19" i="1"/>
  <c r="M14" i="1"/>
  <c r="M15" i="1"/>
  <c r="N14" i="1"/>
  <c r="O14" i="1"/>
  <c r="P14" i="1"/>
  <c r="P15" i="1"/>
  <c r="P16" i="1"/>
  <c r="P18" i="1"/>
  <c r="P19" i="1"/>
  <c r="Q14" i="1"/>
  <c r="Q15" i="1"/>
  <c r="R14" i="1"/>
  <c r="R15" i="1"/>
  <c r="S14" i="1"/>
  <c r="T14" i="1"/>
  <c r="T15" i="1"/>
  <c r="T16" i="1"/>
  <c r="T18" i="1"/>
  <c r="T19" i="1"/>
  <c r="U14" i="1"/>
  <c r="U15" i="1"/>
  <c r="V14" i="1"/>
  <c r="W14" i="1"/>
  <c r="X14" i="1"/>
  <c r="X15" i="1"/>
  <c r="X16" i="1"/>
  <c r="X18" i="1"/>
  <c r="X19" i="1"/>
  <c r="J7" i="1"/>
  <c r="K7" i="1"/>
  <c r="L7" i="1"/>
  <c r="M7" i="1"/>
  <c r="N7" i="1"/>
  <c r="O7" i="1"/>
  <c r="P7" i="1"/>
  <c r="Q7" i="1"/>
  <c r="R7" i="1"/>
  <c r="S7" i="1"/>
  <c r="T7" i="1"/>
  <c r="U7" i="1"/>
  <c r="V7" i="1"/>
  <c r="W7" i="1"/>
  <c r="X7" i="1"/>
  <c r="Y7" i="1"/>
  <c r="I14" i="1"/>
  <c r="H14" i="1"/>
  <c r="G14" i="1"/>
  <c r="G15" i="1"/>
  <c r="F14" i="1"/>
  <c r="F15" i="1"/>
  <c r="D14" i="1"/>
  <c r="G12" i="1"/>
  <c r="H12" i="1"/>
  <c r="I12" i="1"/>
  <c r="J12" i="1"/>
  <c r="K12" i="1"/>
  <c r="L12" i="1"/>
  <c r="M12" i="1"/>
  <c r="N12" i="1"/>
  <c r="O12" i="1"/>
  <c r="P12" i="1"/>
  <c r="Q12" i="1"/>
  <c r="R12" i="1"/>
  <c r="S12" i="1"/>
  <c r="T12" i="1"/>
  <c r="U12" i="1"/>
  <c r="V12" i="1"/>
  <c r="W12" i="1"/>
  <c r="X12" i="1"/>
  <c r="Y12" i="1"/>
  <c r="I7" i="1"/>
  <c r="H7" i="1"/>
  <c r="G7" i="1"/>
  <c r="F7" i="1"/>
  <c r="D7" i="1"/>
  <c r="Z42" i="16"/>
  <c r="Z41" i="16"/>
  <c r="C52" i="2"/>
  <c r="C47" i="2"/>
  <c r="G52" i="2"/>
  <c r="E52" i="2"/>
  <c r="E47" i="2"/>
  <c r="F52" i="2"/>
  <c r="L57" i="1"/>
  <c r="L58" i="1"/>
  <c r="L59" i="1"/>
  <c r="L60" i="1"/>
  <c r="L61" i="1"/>
  <c r="L62" i="1"/>
  <c r="L63" i="1"/>
  <c r="L64" i="1"/>
  <c r="L65" i="1"/>
  <c r="L66" i="1"/>
  <c r="L67" i="1"/>
  <c r="L68" i="1"/>
  <c r="L69" i="1"/>
  <c r="L70" i="1"/>
  <c r="L71" i="1"/>
  <c r="L72" i="1"/>
  <c r="L73" i="1"/>
  <c r="P56" i="1"/>
  <c r="R16" i="1"/>
  <c r="R18" i="1"/>
  <c r="R19" i="1"/>
  <c r="J16" i="1"/>
  <c r="J18" i="1"/>
  <c r="J19" i="1"/>
  <c r="V15" i="1"/>
  <c r="V16" i="1"/>
  <c r="V18" i="1"/>
  <c r="V19" i="1"/>
  <c r="N15" i="1"/>
  <c r="N16" i="1"/>
  <c r="N18" i="1"/>
  <c r="N19" i="1"/>
  <c r="I15" i="1"/>
  <c r="I16" i="1"/>
  <c r="I18" i="1"/>
  <c r="I19" i="1"/>
  <c r="W15" i="1"/>
  <c r="W16" i="1"/>
  <c r="W18" i="1"/>
  <c r="W19" i="1"/>
  <c r="S15" i="1"/>
  <c r="S16" i="1"/>
  <c r="S18" i="1"/>
  <c r="S19" i="1"/>
  <c r="O15" i="1"/>
  <c r="O16" i="1"/>
  <c r="O18" i="1"/>
  <c r="O19" i="1"/>
  <c r="K15" i="1"/>
  <c r="K16" i="1"/>
  <c r="K18" i="1"/>
  <c r="K19" i="1"/>
  <c r="U16" i="1"/>
  <c r="U18" i="1"/>
  <c r="U19" i="1"/>
  <c r="Q16" i="1"/>
  <c r="Q18" i="1"/>
  <c r="Q19" i="1"/>
  <c r="M16" i="1"/>
  <c r="M18" i="1"/>
  <c r="M19" i="1"/>
  <c r="P73" i="1"/>
  <c r="P61" i="1"/>
  <c r="P57" i="1"/>
  <c r="D31" i="1"/>
  <c r="D32" i="1"/>
  <c r="D33" i="1"/>
  <c r="P71" i="1"/>
  <c r="P67" i="1"/>
  <c r="P59" i="1"/>
  <c r="P55" i="1"/>
  <c r="P72" i="1"/>
  <c r="P60" i="1"/>
  <c r="G16" i="1"/>
  <c r="G18" i="1"/>
  <c r="G19" i="1"/>
  <c r="H15" i="1"/>
  <c r="H16" i="1"/>
  <c r="H18" i="1"/>
  <c r="H19" i="1"/>
  <c r="P70" i="1"/>
  <c r="P62" i="1"/>
  <c r="P58" i="1"/>
  <c r="F47" i="2"/>
  <c r="G47" i="2"/>
  <c r="D47" i="2"/>
  <c r="F16" i="1"/>
  <c r="F18" i="1"/>
  <c r="D15" i="1"/>
  <c r="D16" i="1"/>
  <c r="AA42" i="16"/>
  <c r="AA41" i="16"/>
  <c r="P65" i="1"/>
  <c r="P68" i="1"/>
  <c r="P66" i="1"/>
  <c r="P63" i="1"/>
  <c r="P64" i="1"/>
  <c r="P69" i="1"/>
  <c r="D34" i="1"/>
  <c r="G10" i="2"/>
  <c r="G12" i="2"/>
  <c r="K10" i="2"/>
  <c r="K12" i="2"/>
  <c r="O10" i="2"/>
  <c r="O12" i="2"/>
  <c r="S10" i="2"/>
  <c r="S12" i="2"/>
  <c r="W10" i="2"/>
  <c r="W12" i="2"/>
  <c r="M10" i="2"/>
  <c r="M12" i="2"/>
  <c r="H10" i="2"/>
  <c r="H12" i="2"/>
  <c r="L10" i="2"/>
  <c r="L12" i="2"/>
  <c r="P10" i="2"/>
  <c r="P12" i="2"/>
  <c r="T10" i="2"/>
  <c r="T12" i="2"/>
  <c r="E10" i="2"/>
  <c r="E12" i="2"/>
  <c r="I10" i="2"/>
  <c r="I12" i="2"/>
  <c r="Q10" i="2"/>
  <c r="Q12" i="2"/>
  <c r="D12" i="2"/>
  <c r="F10" i="2"/>
  <c r="F12" i="2"/>
  <c r="J10" i="2"/>
  <c r="J12" i="2"/>
  <c r="N10" i="2"/>
  <c r="N12" i="2"/>
  <c r="R10" i="2"/>
  <c r="R12" i="2"/>
  <c r="V10" i="2"/>
  <c r="V12" i="2"/>
  <c r="U10" i="2"/>
  <c r="U12" i="2"/>
  <c r="C5" i="10"/>
  <c r="G40" i="16"/>
  <c r="G38" i="16"/>
  <c r="G49" i="16"/>
  <c r="G54" i="16"/>
  <c r="D35" i="1"/>
  <c r="G56" i="16"/>
  <c r="G58" i="16"/>
  <c r="H54" i="16"/>
  <c r="G26" i="16"/>
  <c r="G30" i="16"/>
  <c r="G73" i="16"/>
  <c r="D36" i="1"/>
  <c r="F24" i="5"/>
  <c r="E15" i="5"/>
  <c r="D29" i="5"/>
  <c r="G49" i="12"/>
  <c r="I54" i="16"/>
  <c r="D8" i="10"/>
  <c r="D9" i="10"/>
  <c r="C9" i="10"/>
  <c r="D37" i="1"/>
  <c r="H21" i="16"/>
  <c r="H88" i="16"/>
  <c r="H15" i="5"/>
  <c r="J54" i="16"/>
  <c r="G15" i="5"/>
  <c r="D38" i="1"/>
  <c r="H22" i="16"/>
  <c r="H23" i="16"/>
  <c r="I21" i="16"/>
  <c r="I88" i="16"/>
  <c r="H50" i="12"/>
  <c r="C7" i="10"/>
  <c r="C8" i="10"/>
  <c r="K54" i="16"/>
  <c r="D39" i="1"/>
  <c r="H24" i="16"/>
  <c r="I22" i="16"/>
  <c r="H51" i="12"/>
  <c r="I23" i="16"/>
  <c r="L54" i="16"/>
  <c r="D40" i="1"/>
  <c r="H52" i="12"/>
  <c r="I24" i="16"/>
  <c r="H74" i="16"/>
  <c r="H81" i="16"/>
  <c r="H55" i="16"/>
  <c r="H30" i="16"/>
  <c r="M54" i="16"/>
  <c r="D41" i="1"/>
  <c r="H39" i="16"/>
  <c r="H73" i="16"/>
  <c r="H80" i="16"/>
  <c r="H53" i="16"/>
  <c r="H65" i="16"/>
  <c r="H56" i="16"/>
  <c r="I74" i="16"/>
  <c r="I81" i="16"/>
  <c r="I30" i="16"/>
  <c r="I73" i="16"/>
  <c r="I80" i="16"/>
  <c r="I55" i="16"/>
  <c r="N54" i="16"/>
  <c r="D42" i="1"/>
  <c r="I53" i="16"/>
  <c r="I65" i="16"/>
  <c r="I56" i="16"/>
  <c r="H38" i="16"/>
  <c r="H49" i="16"/>
  <c r="H64" i="16"/>
  <c r="I39" i="16"/>
  <c r="O54" i="16"/>
  <c r="I38" i="16"/>
  <c r="I49" i="16"/>
  <c r="I64" i="16"/>
  <c r="H58" i="16"/>
  <c r="P54" i="16"/>
  <c r="I58" i="16"/>
  <c r="Q54" i="16"/>
  <c r="R54" i="16"/>
  <c r="S54" i="16"/>
  <c r="T54" i="16"/>
  <c r="U54" i="16"/>
  <c r="V54" i="16"/>
  <c r="W54" i="16"/>
  <c r="X54" i="16"/>
  <c r="Y54" i="16"/>
  <c r="Z54" i="16"/>
  <c r="AA54" i="16"/>
  <c r="G16" i="5"/>
  <c r="F25" i="5"/>
  <c r="H16" i="5"/>
  <c r="H17" i="5"/>
  <c r="H18" i="5"/>
  <c r="K50" i="12"/>
  <c r="G17" i="5"/>
  <c r="L21" i="16"/>
  <c r="L88" i="16"/>
  <c r="H19" i="5"/>
  <c r="G19" i="5"/>
  <c r="G18" i="5"/>
  <c r="J21" i="16"/>
  <c r="J88" i="16"/>
  <c r="I50" i="12"/>
  <c r="L22" i="16"/>
  <c r="K51" i="12"/>
  <c r="L23" i="16"/>
  <c r="K21" i="16"/>
  <c r="K88" i="16"/>
  <c r="J50" i="12"/>
  <c r="M21" i="16"/>
  <c r="M88" i="16"/>
  <c r="L50" i="12"/>
  <c r="H20" i="5"/>
  <c r="G20" i="5"/>
  <c r="K52" i="12"/>
  <c r="L24" i="16"/>
  <c r="L30" i="16"/>
  <c r="L73" i="16"/>
  <c r="L80" i="16"/>
  <c r="N21" i="16"/>
  <c r="N88" i="16"/>
  <c r="M50" i="12"/>
  <c r="J22" i="16"/>
  <c r="I51" i="12"/>
  <c r="J23" i="16"/>
  <c r="L74" i="16"/>
  <c r="L81" i="16"/>
  <c r="M22" i="16"/>
  <c r="L51" i="12"/>
  <c r="K22" i="16"/>
  <c r="J51" i="12"/>
  <c r="K23" i="16"/>
  <c r="H21" i="5"/>
  <c r="G21" i="5"/>
  <c r="I52" i="12"/>
  <c r="J24" i="16"/>
  <c r="J74" i="16"/>
  <c r="J81" i="16"/>
  <c r="J52" i="12"/>
  <c r="K24" i="16"/>
  <c r="L52" i="12"/>
  <c r="M24" i="16"/>
  <c r="M23" i="16"/>
  <c r="O21" i="16"/>
  <c r="O88" i="16"/>
  <c r="N50" i="12"/>
  <c r="N22" i="16"/>
  <c r="M51" i="12"/>
  <c r="N23" i="16"/>
  <c r="G22" i="5"/>
  <c r="H22" i="5"/>
  <c r="J30" i="16"/>
  <c r="J39" i="16"/>
  <c r="J55" i="16"/>
  <c r="K55" i="16"/>
  <c r="O22" i="16"/>
  <c r="N51" i="12"/>
  <c r="O23" i="16"/>
  <c r="M52" i="12"/>
  <c r="N24" i="16"/>
  <c r="M74" i="16"/>
  <c r="M81" i="16"/>
  <c r="M30" i="16"/>
  <c r="M73" i="16"/>
  <c r="M80" i="16"/>
  <c r="K30" i="16"/>
  <c r="K73" i="16"/>
  <c r="K80" i="16"/>
  <c r="K74" i="16"/>
  <c r="K81" i="16"/>
  <c r="P21" i="16"/>
  <c r="P88" i="16"/>
  <c r="O50" i="12"/>
  <c r="H23" i="5"/>
  <c r="G23" i="5"/>
  <c r="J53" i="16"/>
  <c r="J65" i="16"/>
  <c r="J73" i="16"/>
  <c r="J80" i="16"/>
  <c r="J56" i="16"/>
  <c r="Q21" i="16"/>
  <c r="Q88" i="16"/>
  <c r="P50" i="12"/>
  <c r="P22" i="16"/>
  <c r="O51" i="12"/>
  <c r="P23" i="16"/>
  <c r="L55" i="16"/>
  <c r="K53" i="16"/>
  <c r="K65" i="16"/>
  <c r="K56" i="16"/>
  <c r="N52" i="12"/>
  <c r="O24" i="16"/>
  <c r="K39" i="16"/>
  <c r="J38" i="16"/>
  <c r="J49" i="16"/>
  <c r="J64" i="16"/>
  <c r="N74" i="16"/>
  <c r="N81" i="16"/>
  <c r="N30" i="16"/>
  <c r="N73" i="16"/>
  <c r="N80" i="16"/>
  <c r="H24" i="5"/>
  <c r="G24" i="5"/>
  <c r="J58" i="16"/>
  <c r="Q22" i="16"/>
  <c r="P51" i="12"/>
  <c r="Q23" i="16"/>
  <c r="L39" i="16"/>
  <c r="K38" i="16"/>
  <c r="K49" i="16"/>
  <c r="K64" i="16"/>
  <c r="O74" i="16"/>
  <c r="O81" i="16"/>
  <c r="O30" i="16"/>
  <c r="O73" i="16"/>
  <c r="O80" i="16"/>
  <c r="O52" i="12"/>
  <c r="P24" i="16"/>
  <c r="M55" i="16"/>
  <c r="L53" i="16"/>
  <c r="L65" i="16"/>
  <c r="L56" i="16"/>
  <c r="K58" i="16"/>
  <c r="C22" i="10"/>
  <c r="P52" i="12"/>
  <c r="Q24" i="16"/>
  <c r="N55" i="16"/>
  <c r="M53" i="16"/>
  <c r="M65" i="16"/>
  <c r="M56" i="16"/>
  <c r="P30" i="16"/>
  <c r="P73" i="16"/>
  <c r="P80" i="16"/>
  <c r="P74" i="16"/>
  <c r="P81" i="16"/>
  <c r="M39" i="16"/>
  <c r="L38" i="16"/>
  <c r="L49" i="16"/>
  <c r="L64" i="16"/>
  <c r="M38" i="16"/>
  <c r="M49" i="16"/>
  <c r="M64" i="16"/>
  <c r="N39" i="16"/>
  <c r="O55" i="16"/>
  <c r="N56" i="16"/>
  <c r="N53" i="16"/>
  <c r="N65" i="16"/>
  <c r="Q74" i="16"/>
  <c r="Q81" i="16"/>
  <c r="Q30" i="16"/>
  <c r="Q73" i="16"/>
  <c r="Q80" i="16"/>
  <c r="L58" i="16"/>
  <c r="M58" i="16"/>
  <c r="P55" i="16"/>
  <c r="O53" i="16"/>
  <c r="O65" i="16"/>
  <c r="O56" i="16"/>
  <c r="O39" i="16"/>
  <c r="N38" i="16"/>
  <c r="N49" i="16"/>
  <c r="N64" i="16"/>
  <c r="N58" i="16"/>
  <c r="O38" i="16"/>
  <c r="O49" i="16"/>
  <c r="O64" i="16"/>
  <c r="P39" i="16"/>
  <c r="Q55" i="16"/>
  <c r="P56" i="16"/>
  <c r="P53" i="16"/>
  <c r="P65" i="16"/>
  <c r="Q39" i="16"/>
  <c r="P38" i="16"/>
  <c r="P49" i="16"/>
  <c r="P64" i="16"/>
  <c r="R55" i="16"/>
  <c r="Q56" i="16"/>
  <c r="Q53" i="16"/>
  <c r="Q65" i="16"/>
  <c r="O58" i="16"/>
  <c r="S55" i="16"/>
  <c r="R56" i="16"/>
  <c r="R53" i="16"/>
  <c r="R65" i="16"/>
  <c r="P58" i="16"/>
  <c r="Q38" i="16"/>
  <c r="Q49" i="16"/>
  <c r="Q64" i="16"/>
  <c r="R39" i="16"/>
  <c r="R38" i="16"/>
  <c r="R49" i="16"/>
  <c r="R64" i="16"/>
  <c r="S39" i="16"/>
  <c r="Q58" i="16"/>
  <c r="T55" i="16"/>
  <c r="S53" i="16"/>
  <c r="S65" i="16"/>
  <c r="S56" i="16"/>
  <c r="R58" i="16"/>
  <c r="S38" i="16"/>
  <c r="S49" i="16"/>
  <c r="S64" i="16"/>
  <c r="T39" i="16"/>
  <c r="U55" i="16"/>
  <c r="T53" i="16"/>
  <c r="T65" i="16"/>
  <c r="T56" i="16"/>
  <c r="U39" i="16"/>
  <c r="T38" i="16"/>
  <c r="T49" i="16"/>
  <c r="T64" i="16"/>
  <c r="V55" i="16"/>
  <c r="U53" i="16"/>
  <c r="U65" i="16"/>
  <c r="U56" i="16"/>
  <c r="S58" i="16"/>
  <c r="W55" i="16"/>
  <c r="V56" i="16"/>
  <c r="V53" i="16"/>
  <c r="V65" i="16"/>
  <c r="T58" i="16"/>
  <c r="U38" i="16"/>
  <c r="U49" i="16"/>
  <c r="U64" i="16"/>
  <c r="V39" i="16"/>
  <c r="U58" i="16"/>
  <c r="V38" i="16"/>
  <c r="V49" i="16"/>
  <c r="V64" i="16"/>
  <c r="W39" i="16"/>
  <c r="X55" i="16"/>
  <c r="W53" i="16"/>
  <c r="W65" i="16"/>
  <c r="W56" i="16"/>
  <c r="V58" i="16"/>
  <c r="W38" i="16"/>
  <c r="W49" i="16"/>
  <c r="W64" i="16"/>
  <c r="X39" i="16"/>
  <c r="Y55" i="16"/>
  <c r="X53" i="16"/>
  <c r="X65" i="16"/>
  <c r="X56" i="16"/>
  <c r="Z55" i="16"/>
  <c r="Y56" i="16"/>
  <c r="Y53" i="16"/>
  <c r="Y65" i="16"/>
  <c r="Y39" i="16"/>
  <c r="X38" i="16"/>
  <c r="X49" i="16"/>
  <c r="X64" i="16"/>
  <c r="W58" i="16"/>
  <c r="X58" i="16"/>
  <c r="Z39" i="16"/>
  <c r="Y38" i="16"/>
  <c r="Y49" i="16"/>
  <c r="Y64" i="16"/>
  <c r="AA55" i="16"/>
  <c r="Z56" i="16"/>
  <c r="Z53" i="16"/>
  <c r="Z65" i="16"/>
  <c r="AA39" i="16"/>
  <c r="AA38" i="16"/>
  <c r="AA49" i="16"/>
  <c r="AA64" i="16"/>
  <c r="Z38" i="16"/>
  <c r="Z49" i="16"/>
  <c r="Z64" i="16"/>
  <c r="AA56" i="16"/>
  <c r="AA53" i="16"/>
  <c r="AA65" i="16"/>
  <c r="Y58" i="16"/>
  <c r="AA58" i="16"/>
  <c r="Z58" i="16"/>
  <c r="P33" i="17"/>
  <c r="P34" i="17"/>
  <c r="P35" i="17"/>
  <c r="P43" i="17"/>
  <c r="P49" i="17"/>
  <c r="Q33" i="17"/>
  <c r="Q34" i="17"/>
  <c r="Q35" i="17"/>
  <c r="Q43" i="17"/>
  <c r="Q49" i="17"/>
  <c r="R33" i="17"/>
  <c r="R34" i="17"/>
  <c r="R35" i="17"/>
  <c r="R43" i="17"/>
  <c r="R49" i="17"/>
  <c r="S33" i="17"/>
  <c r="S34" i="17"/>
  <c r="S35" i="17"/>
  <c r="S43" i="17"/>
  <c r="S49" i="17"/>
  <c r="T33" i="17"/>
  <c r="T34" i="17"/>
  <c r="T35" i="17"/>
  <c r="T43" i="17"/>
  <c r="T49" i="17"/>
  <c r="U33" i="17"/>
  <c r="U34" i="17"/>
  <c r="U35" i="17"/>
  <c r="U43" i="17"/>
  <c r="U49" i="17"/>
  <c r="V33" i="17"/>
  <c r="V34" i="17"/>
  <c r="V35" i="17"/>
  <c r="V43" i="17"/>
  <c r="V49" i="17"/>
  <c r="W33" i="17"/>
  <c r="W34" i="17"/>
  <c r="W35" i="17"/>
  <c r="W43" i="17"/>
  <c r="W49" i="17"/>
  <c r="X33" i="17"/>
  <c r="X34" i="17"/>
  <c r="X35" i="17"/>
  <c r="X43" i="17"/>
  <c r="X49" i="17"/>
  <c r="Y33" i="17"/>
  <c r="Y34" i="17"/>
  <c r="Y35" i="17"/>
  <c r="Y43" i="17"/>
  <c r="Y49" i="17"/>
  <c r="Z33" i="17"/>
  <c r="Z34" i="17"/>
  <c r="Z35" i="17"/>
  <c r="Z43" i="17"/>
  <c r="Z49" i="17"/>
  <c r="AA33" i="17"/>
  <c r="AA34" i="17"/>
  <c r="AA35" i="17"/>
  <c r="AA43" i="17"/>
  <c r="AA49" i="17"/>
  <c r="AB33" i="17"/>
  <c r="AB34" i="17"/>
  <c r="AB35" i="17"/>
  <c r="AB43" i="17"/>
  <c r="AB49" i="17"/>
  <c r="AC33" i="17"/>
  <c r="AC34" i="17"/>
  <c r="AC35" i="17"/>
  <c r="AC43" i="17"/>
  <c r="AC49" i="17"/>
  <c r="AD33" i="17"/>
  <c r="AD34" i="17"/>
  <c r="AD35" i="17"/>
  <c r="AD43" i="17"/>
  <c r="AD49" i="17"/>
  <c r="AE33" i="17"/>
  <c r="AE34" i="17"/>
  <c r="AE35" i="17"/>
  <c r="AE43" i="17"/>
  <c r="AE49" i="17"/>
  <c r="AF33" i="17"/>
  <c r="AF34" i="17"/>
  <c r="AF35" i="17"/>
  <c r="AF43" i="17"/>
  <c r="AF49" i="17"/>
  <c r="AG33" i="17"/>
  <c r="AG34" i="17"/>
  <c r="AG35" i="17"/>
  <c r="AG43" i="17"/>
  <c r="AG49" i="17"/>
  <c r="O33" i="17"/>
  <c r="O34" i="17"/>
  <c r="O35" i="17"/>
  <c r="O43" i="17"/>
  <c r="O49" i="17"/>
  <c r="M56" i="17"/>
  <c r="M55" i="17"/>
</calcChain>
</file>

<file path=xl/comments1.xml><?xml version="1.0" encoding="utf-8"?>
<comments xmlns="http://schemas.openxmlformats.org/spreadsheetml/2006/main">
  <authors>
    <author>Estefany 1</author>
  </authors>
  <commentList>
    <comment ref="N5" authorId="0" shapeId="0">
      <text>
        <r>
          <rPr>
            <b/>
            <sz val="9"/>
            <color indexed="81"/>
            <rFont val="Tahoma"/>
            <family val="2"/>
          </rPr>
          <t>Suposición</t>
        </r>
        <r>
          <rPr>
            <sz val="9"/>
            <color indexed="81"/>
            <rFont val="Tahoma"/>
            <family val="2"/>
          </rPr>
          <t>: PRECIO (=L5)
  Distribución Triangular
  Mínimo = 0.06 (=C9)
  Más probable = 0.08 (=D9)
  Máximo = 0.09 (=E9)</t>
        </r>
      </text>
    </comment>
    <comment ref="N6" authorId="0" shapeId="0">
      <text>
        <r>
          <rPr>
            <b/>
            <sz val="9"/>
            <color indexed="81"/>
            <rFont val="Tahoma"/>
            <family val="2"/>
          </rPr>
          <t>Suposición</t>
        </r>
        <r>
          <rPr>
            <sz val="9"/>
            <color indexed="81"/>
            <rFont val="Tahoma"/>
            <family val="2"/>
          </rPr>
          <t>: COSTOS DE EXPLOTACIÓN  (=L6)
  Distribución Triangular
  Mínimo = 0.0237 (=C18)
  Más probable = 0.0257 (=D18)
  Máximo = 0.0277 (=E18)</t>
        </r>
      </text>
    </comment>
    <comment ref="N7" authorId="0" shapeId="0">
      <text>
        <r>
          <rPr>
            <b/>
            <sz val="9"/>
            <color indexed="81"/>
            <rFont val="Tahoma"/>
            <family val="2"/>
          </rPr>
          <t>Suposición</t>
        </r>
        <r>
          <rPr>
            <sz val="9"/>
            <color indexed="81"/>
            <rFont val="Tahoma"/>
            <family val="2"/>
          </rPr>
          <t>: PRODUCCIÓN  (=L7)
  Distribución Triangular
  Mínimo = 56,992,460 (=C38)
  Más probable = 81,417,800 (=D38)
  Máximo = 105,843,140 (=E38)</t>
        </r>
      </text>
    </comment>
    <comment ref="N8" authorId="0" shapeId="0">
      <text>
        <r>
          <rPr>
            <b/>
            <sz val="9"/>
            <color indexed="81"/>
            <rFont val="Tahoma"/>
            <family val="2"/>
          </rPr>
          <t>Suposición</t>
        </r>
        <r>
          <rPr>
            <sz val="9"/>
            <color indexed="81"/>
            <rFont val="Tahoma"/>
            <family val="2"/>
          </rPr>
          <t>: INV. TOTAL (=L8)
  Distribución Triangular
  Mínimo = 34,971,142 (=C49)
  Más probable = 38,856,825 (=D49)
  Máximo = 42,742,507 (=E49)</t>
        </r>
      </text>
    </comment>
    <comment ref="N9" authorId="0" shapeId="0">
      <text>
        <r>
          <rPr>
            <b/>
            <sz val="9"/>
            <color indexed="81"/>
            <rFont val="Tahoma"/>
            <family val="2"/>
          </rPr>
          <t>Suposición</t>
        </r>
        <r>
          <rPr>
            <sz val="9"/>
            <color indexed="81"/>
            <rFont val="Tahoma"/>
            <family val="2"/>
          </rPr>
          <t>: WACC (=L9)
  Distribución Triangular
  Mínimo = 0.1075 (=C28)
  Más probable = 0.1195
  Máximo = 0.1314</t>
        </r>
      </text>
    </comment>
    <comment ref="N35" authorId="0" shapeId="0">
      <text>
        <r>
          <rPr>
            <b/>
            <sz val="9"/>
            <color indexed="81"/>
            <rFont val="Tahoma"/>
            <family val="2"/>
          </rPr>
          <t>Previsión</t>
        </r>
        <r>
          <rPr>
            <sz val="9"/>
            <color indexed="81"/>
            <rFont val="Tahoma"/>
            <family val="2"/>
          </rPr>
          <t>: AÑO 2016 (=N14)</t>
        </r>
      </text>
    </comment>
    <comment ref="O35" authorId="0" shapeId="0">
      <text>
        <r>
          <rPr>
            <b/>
            <sz val="9"/>
            <color indexed="81"/>
            <rFont val="Tahoma"/>
            <family val="2"/>
          </rPr>
          <t>Previsión</t>
        </r>
        <r>
          <rPr>
            <sz val="9"/>
            <color indexed="81"/>
            <rFont val="Tahoma"/>
            <family val="2"/>
          </rPr>
          <t>: AÑO 2017 (=O14)</t>
        </r>
      </text>
    </comment>
    <comment ref="P35" authorId="0" shapeId="0">
      <text>
        <r>
          <rPr>
            <b/>
            <sz val="9"/>
            <color indexed="81"/>
            <rFont val="Tahoma"/>
            <family val="2"/>
          </rPr>
          <t>Previsión</t>
        </r>
        <r>
          <rPr>
            <sz val="9"/>
            <color indexed="81"/>
            <rFont val="Tahoma"/>
            <family val="2"/>
          </rPr>
          <t>: AÑO 2018 (=P14)</t>
        </r>
      </text>
    </comment>
    <comment ref="Q35" authorId="0" shapeId="0">
      <text>
        <r>
          <rPr>
            <b/>
            <sz val="9"/>
            <color indexed="81"/>
            <rFont val="Tahoma"/>
            <family val="2"/>
          </rPr>
          <t>Previsión</t>
        </r>
        <r>
          <rPr>
            <sz val="9"/>
            <color indexed="81"/>
            <rFont val="Tahoma"/>
            <family val="2"/>
          </rPr>
          <t>: AÑO 2019 (=Q14)</t>
        </r>
      </text>
    </comment>
    <comment ref="R35" authorId="0" shapeId="0">
      <text>
        <r>
          <rPr>
            <b/>
            <sz val="9"/>
            <color indexed="81"/>
            <rFont val="Tahoma"/>
            <family val="2"/>
          </rPr>
          <t>Previsión</t>
        </r>
        <r>
          <rPr>
            <sz val="9"/>
            <color indexed="81"/>
            <rFont val="Tahoma"/>
            <family val="2"/>
          </rPr>
          <t>: AÑO 2020 (=R14)</t>
        </r>
      </text>
    </comment>
    <comment ref="S35" authorId="0" shapeId="0">
      <text>
        <r>
          <rPr>
            <b/>
            <sz val="9"/>
            <color indexed="81"/>
            <rFont val="Tahoma"/>
            <family val="2"/>
          </rPr>
          <t>Previsión</t>
        </r>
        <r>
          <rPr>
            <sz val="9"/>
            <color indexed="81"/>
            <rFont val="Tahoma"/>
            <family val="2"/>
          </rPr>
          <t>: AÑO 2021 (=S14)</t>
        </r>
      </text>
    </comment>
    <comment ref="T35" authorId="0" shapeId="0">
      <text>
        <r>
          <rPr>
            <b/>
            <sz val="9"/>
            <color indexed="81"/>
            <rFont val="Tahoma"/>
            <family val="2"/>
          </rPr>
          <t>Previsión</t>
        </r>
        <r>
          <rPr>
            <sz val="9"/>
            <color indexed="81"/>
            <rFont val="Tahoma"/>
            <family val="2"/>
          </rPr>
          <t>: AÑO 2022 (=T14)</t>
        </r>
      </text>
    </comment>
    <comment ref="U35" authorId="0" shapeId="0">
      <text>
        <r>
          <rPr>
            <b/>
            <sz val="9"/>
            <color indexed="81"/>
            <rFont val="Tahoma"/>
            <family val="2"/>
          </rPr>
          <t>Previsión</t>
        </r>
        <r>
          <rPr>
            <sz val="9"/>
            <color indexed="81"/>
            <rFont val="Tahoma"/>
            <family val="2"/>
          </rPr>
          <t>: AÑO 2023 (=U14)</t>
        </r>
      </text>
    </comment>
    <comment ref="V35" authorId="0" shapeId="0">
      <text>
        <r>
          <rPr>
            <b/>
            <sz val="9"/>
            <color indexed="81"/>
            <rFont val="Tahoma"/>
            <family val="2"/>
          </rPr>
          <t>Previsión</t>
        </r>
        <r>
          <rPr>
            <sz val="9"/>
            <color indexed="81"/>
            <rFont val="Tahoma"/>
            <family val="2"/>
          </rPr>
          <t>: AÑO 2024 (=V14)</t>
        </r>
      </text>
    </comment>
    <comment ref="W35" authorId="0" shapeId="0">
      <text>
        <r>
          <rPr>
            <b/>
            <sz val="9"/>
            <color indexed="81"/>
            <rFont val="Tahoma"/>
            <family val="2"/>
          </rPr>
          <t>Previsión</t>
        </r>
        <r>
          <rPr>
            <sz val="9"/>
            <color indexed="81"/>
            <rFont val="Tahoma"/>
            <family val="2"/>
          </rPr>
          <t>: AÑO 2025 (=W14)</t>
        </r>
      </text>
    </comment>
    <comment ref="X35" authorId="0" shapeId="0">
      <text>
        <r>
          <rPr>
            <b/>
            <sz val="9"/>
            <color indexed="81"/>
            <rFont val="Tahoma"/>
            <family val="2"/>
          </rPr>
          <t>Previsión</t>
        </r>
        <r>
          <rPr>
            <sz val="9"/>
            <color indexed="81"/>
            <rFont val="Tahoma"/>
            <family val="2"/>
          </rPr>
          <t>: AÑO 2026 (=X14)</t>
        </r>
      </text>
    </comment>
    <comment ref="Y35" authorId="0" shapeId="0">
      <text>
        <r>
          <rPr>
            <b/>
            <sz val="9"/>
            <color indexed="81"/>
            <rFont val="Tahoma"/>
            <family val="2"/>
          </rPr>
          <t>Previsión</t>
        </r>
        <r>
          <rPr>
            <sz val="9"/>
            <color indexed="81"/>
            <rFont val="Tahoma"/>
            <family val="2"/>
          </rPr>
          <t>: AÑO 2027 (=Y14)</t>
        </r>
      </text>
    </comment>
    <comment ref="Z35" authorId="0" shapeId="0">
      <text>
        <r>
          <rPr>
            <b/>
            <sz val="9"/>
            <color indexed="81"/>
            <rFont val="Tahoma"/>
            <family val="2"/>
          </rPr>
          <t>Previsión</t>
        </r>
        <r>
          <rPr>
            <sz val="9"/>
            <color indexed="81"/>
            <rFont val="Tahoma"/>
            <family val="2"/>
          </rPr>
          <t>: AÑO 2028 (=Z14)</t>
        </r>
      </text>
    </comment>
    <comment ref="AA35" authorId="0" shapeId="0">
      <text>
        <r>
          <rPr>
            <b/>
            <sz val="9"/>
            <color indexed="81"/>
            <rFont val="Tahoma"/>
            <family val="2"/>
          </rPr>
          <t>Previsión</t>
        </r>
        <r>
          <rPr>
            <sz val="9"/>
            <color indexed="81"/>
            <rFont val="Tahoma"/>
            <family val="2"/>
          </rPr>
          <t>: AÑO 2029 (=AA14)</t>
        </r>
      </text>
    </comment>
    <comment ref="AB35" authorId="0" shapeId="0">
      <text>
        <r>
          <rPr>
            <b/>
            <sz val="9"/>
            <color indexed="81"/>
            <rFont val="Tahoma"/>
            <family val="2"/>
          </rPr>
          <t>Previsión</t>
        </r>
        <r>
          <rPr>
            <sz val="9"/>
            <color indexed="81"/>
            <rFont val="Tahoma"/>
            <family val="2"/>
          </rPr>
          <t>: AÑO 2030 (=AB14)</t>
        </r>
      </text>
    </comment>
    <comment ref="AC35" authorId="0" shapeId="0">
      <text>
        <r>
          <rPr>
            <b/>
            <sz val="9"/>
            <color indexed="81"/>
            <rFont val="Tahoma"/>
            <family val="2"/>
          </rPr>
          <t>Previsión</t>
        </r>
        <r>
          <rPr>
            <sz val="9"/>
            <color indexed="81"/>
            <rFont val="Tahoma"/>
            <family val="2"/>
          </rPr>
          <t>: AÑO 2031 (=AC14)</t>
        </r>
      </text>
    </comment>
    <comment ref="AD35" authorId="0" shapeId="0">
      <text>
        <r>
          <rPr>
            <b/>
            <sz val="9"/>
            <color indexed="81"/>
            <rFont val="Tahoma"/>
            <family val="2"/>
          </rPr>
          <t>Previsión</t>
        </r>
        <r>
          <rPr>
            <sz val="9"/>
            <color indexed="81"/>
            <rFont val="Tahoma"/>
            <family val="2"/>
          </rPr>
          <t>: AÑO 2032 (=AD14)</t>
        </r>
      </text>
    </comment>
    <comment ref="AE35" authorId="0" shapeId="0">
      <text>
        <r>
          <rPr>
            <b/>
            <sz val="9"/>
            <color indexed="81"/>
            <rFont val="Tahoma"/>
            <family val="2"/>
          </rPr>
          <t>Previsión</t>
        </r>
        <r>
          <rPr>
            <sz val="9"/>
            <color indexed="81"/>
            <rFont val="Tahoma"/>
            <family val="2"/>
          </rPr>
          <t>: AÑO 2033 (=AE14)</t>
        </r>
      </text>
    </comment>
    <comment ref="AF35" authorId="0" shapeId="0">
      <text>
        <r>
          <rPr>
            <b/>
            <sz val="9"/>
            <color indexed="81"/>
            <rFont val="Tahoma"/>
            <family val="2"/>
          </rPr>
          <t>Previsión</t>
        </r>
        <r>
          <rPr>
            <sz val="9"/>
            <color indexed="81"/>
            <rFont val="Tahoma"/>
            <family val="2"/>
          </rPr>
          <t>: AÑO 2034 (=AF14)</t>
        </r>
      </text>
    </comment>
    <comment ref="AG35" authorId="0" shapeId="0">
      <text>
        <r>
          <rPr>
            <b/>
            <sz val="9"/>
            <color indexed="81"/>
            <rFont val="Tahoma"/>
            <family val="2"/>
          </rPr>
          <t>Previsión</t>
        </r>
        <r>
          <rPr>
            <sz val="9"/>
            <color indexed="81"/>
            <rFont val="Tahoma"/>
            <family val="2"/>
          </rPr>
          <t>: AÑO 2035 (=AG14)</t>
        </r>
      </text>
    </comment>
    <comment ref="M49" authorId="0" shapeId="0">
      <text>
        <r>
          <rPr>
            <b/>
            <sz val="9"/>
            <color indexed="81"/>
            <rFont val="Tahoma"/>
            <family val="2"/>
          </rPr>
          <t>Previsión</t>
        </r>
        <r>
          <rPr>
            <sz val="9"/>
            <color indexed="81"/>
            <rFont val="Tahoma"/>
            <family val="2"/>
          </rPr>
          <t>: Inversión (=K43)</t>
        </r>
      </text>
    </comment>
    <comment ref="N49" authorId="0" shapeId="0">
      <text>
        <r>
          <rPr>
            <b/>
            <sz val="9"/>
            <color indexed="81"/>
            <rFont val="Tahoma"/>
            <family val="2"/>
          </rPr>
          <t>Previsión</t>
        </r>
        <r>
          <rPr>
            <sz val="9"/>
            <color indexed="81"/>
            <rFont val="Tahoma"/>
            <family val="2"/>
          </rPr>
          <t>: AÑO 2016 (=N38)</t>
        </r>
      </text>
    </comment>
    <comment ref="O49" authorId="0" shapeId="0">
      <text>
        <r>
          <rPr>
            <b/>
            <sz val="9"/>
            <color indexed="81"/>
            <rFont val="Tahoma"/>
            <family val="2"/>
          </rPr>
          <t>Previsión</t>
        </r>
        <r>
          <rPr>
            <sz val="9"/>
            <color indexed="81"/>
            <rFont val="Tahoma"/>
            <family val="2"/>
          </rPr>
          <t>: AÑO 2017 (=O38)</t>
        </r>
      </text>
    </comment>
    <comment ref="P49" authorId="0" shapeId="0">
      <text>
        <r>
          <rPr>
            <b/>
            <sz val="9"/>
            <color indexed="81"/>
            <rFont val="Tahoma"/>
            <family val="2"/>
          </rPr>
          <t>Previsión</t>
        </r>
        <r>
          <rPr>
            <sz val="9"/>
            <color indexed="81"/>
            <rFont val="Tahoma"/>
            <family val="2"/>
          </rPr>
          <t>: AÑO 2018 (=P38)</t>
        </r>
      </text>
    </comment>
    <comment ref="Q49" authorId="0" shapeId="0">
      <text>
        <r>
          <rPr>
            <b/>
            <sz val="9"/>
            <color indexed="81"/>
            <rFont val="Tahoma"/>
            <family val="2"/>
          </rPr>
          <t>Previsión</t>
        </r>
        <r>
          <rPr>
            <sz val="9"/>
            <color indexed="81"/>
            <rFont val="Tahoma"/>
            <family val="2"/>
          </rPr>
          <t>: AÑO 2019 (=Q38)</t>
        </r>
      </text>
    </comment>
    <comment ref="R49" authorId="0" shapeId="0">
      <text>
        <r>
          <rPr>
            <b/>
            <sz val="9"/>
            <color indexed="81"/>
            <rFont val="Tahoma"/>
            <family val="2"/>
          </rPr>
          <t>Previsión</t>
        </r>
        <r>
          <rPr>
            <sz val="9"/>
            <color indexed="81"/>
            <rFont val="Tahoma"/>
            <family val="2"/>
          </rPr>
          <t>: AÑO 2020 (=R38)</t>
        </r>
      </text>
    </comment>
    <comment ref="S49" authorId="0" shapeId="0">
      <text>
        <r>
          <rPr>
            <b/>
            <sz val="9"/>
            <color indexed="81"/>
            <rFont val="Tahoma"/>
            <family val="2"/>
          </rPr>
          <t>Previsión</t>
        </r>
        <r>
          <rPr>
            <sz val="9"/>
            <color indexed="81"/>
            <rFont val="Tahoma"/>
            <family val="2"/>
          </rPr>
          <t>: AÑO 2021 (=S38)</t>
        </r>
      </text>
    </comment>
    <comment ref="T49" authorId="0" shapeId="0">
      <text>
        <r>
          <rPr>
            <b/>
            <sz val="9"/>
            <color indexed="81"/>
            <rFont val="Tahoma"/>
            <family val="2"/>
          </rPr>
          <t>Previsión</t>
        </r>
        <r>
          <rPr>
            <sz val="9"/>
            <color indexed="81"/>
            <rFont val="Tahoma"/>
            <family val="2"/>
          </rPr>
          <t>: AÑO 2022 (=T38)</t>
        </r>
      </text>
    </comment>
    <comment ref="U49" authorId="0" shapeId="0">
      <text>
        <r>
          <rPr>
            <b/>
            <sz val="9"/>
            <color indexed="81"/>
            <rFont val="Tahoma"/>
            <family val="2"/>
          </rPr>
          <t>Previsión</t>
        </r>
        <r>
          <rPr>
            <sz val="9"/>
            <color indexed="81"/>
            <rFont val="Tahoma"/>
            <family val="2"/>
          </rPr>
          <t>: AÑO 2023 (=U38)</t>
        </r>
      </text>
    </comment>
    <comment ref="V49" authorId="0" shapeId="0">
      <text>
        <r>
          <rPr>
            <b/>
            <sz val="9"/>
            <color indexed="81"/>
            <rFont val="Tahoma"/>
            <family val="2"/>
          </rPr>
          <t>Previsión</t>
        </r>
        <r>
          <rPr>
            <sz val="9"/>
            <color indexed="81"/>
            <rFont val="Tahoma"/>
            <family val="2"/>
          </rPr>
          <t>: AÑO 2024 (=V38)</t>
        </r>
      </text>
    </comment>
    <comment ref="W49" authorId="0" shapeId="0">
      <text>
        <r>
          <rPr>
            <b/>
            <sz val="9"/>
            <color indexed="81"/>
            <rFont val="Tahoma"/>
            <family val="2"/>
          </rPr>
          <t>Previsión</t>
        </r>
        <r>
          <rPr>
            <sz val="9"/>
            <color indexed="81"/>
            <rFont val="Tahoma"/>
            <family val="2"/>
          </rPr>
          <t>: AÑO 2025 (=W38)</t>
        </r>
      </text>
    </comment>
    <comment ref="X49" authorId="0" shapeId="0">
      <text>
        <r>
          <rPr>
            <b/>
            <sz val="9"/>
            <color indexed="81"/>
            <rFont val="Tahoma"/>
            <family val="2"/>
          </rPr>
          <t>Previsión</t>
        </r>
        <r>
          <rPr>
            <sz val="9"/>
            <color indexed="81"/>
            <rFont val="Tahoma"/>
            <family val="2"/>
          </rPr>
          <t>: AÑO 2026 (=X38)</t>
        </r>
      </text>
    </comment>
    <comment ref="Y49" authorId="0" shapeId="0">
      <text>
        <r>
          <rPr>
            <b/>
            <sz val="9"/>
            <color indexed="81"/>
            <rFont val="Tahoma"/>
            <family val="2"/>
          </rPr>
          <t>Previsión</t>
        </r>
        <r>
          <rPr>
            <sz val="9"/>
            <color indexed="81"/>
            <rFont val="Tahoma"/>
            <family val="2"/>
          </rPr>
          <t>: AÑO 2027 (=Y38)</t>
        </r>
      </text>
    </comment>
    <comment ref="Z49" authorId="0" shapeId="0">
      <text>
        <r>
          <rPr>
            <b/>
            <sz val="9"/>
            <color indexed="81"/>
            <rFont val="Tahoma"/>
            <family val="2"/>
          </rPr>
          <t>Previsión</t>
        </r>
        <r>
          <rPr>
            <sz val="9"/>
            <color indexed="81"/>
            <rFont val="Tahoma"/>
            <family val="2"/>
          </rPr>
          <t>: AÑO 2028 (=Z38)</t>
        </r>
      </text>
    </comment>
    <comment ref="AA49" authorId="0" shapeId="0">
      <text>
        <r>
          <rPr>
            <b/>
            <sz val="9"/>
            <color indexed="81"/>
            <rFont val="Tahoma"/>
            <family val="2"/>
          </rPr>
          <t>Previsión</t>
        </r>
        <r>
          <rPr>
            <sz val="9"/>
            <color indexed="81"/>
            <rFont val="Tahoma"/>
            <family val="2"/>
          </rPr>
          <t>: AÑO 2029 (=AA38)</t>
        </r>
      </text>
    </comment>
    <comment ref="AB49" authorId="0" shapeId="0">
      <text>
        <r>
          <rPr>
            <b/>
            <sz val="9"/>
            <color indexed="81"/>
            <rFont val="Tahoma"/>
            <family val="2"/>
          </rPr>
          <t>Previsión</t>
        </r>
        <r>
          <rPr>
            <sz val="9"/>
            <color indexed="81"/>
            <rFont val="Tahoma"/>
            <family val="2"/>
          </rPr>
          <t>: AÑO 2030 (=AB38)</t>
        </r>
      </text>
    </comment>
    <comment ref="AC49" authorId="0" shapeId="0">
      <text>
        <r>
          <rPr>
            <b/>
            <sz val="9"/>
            <color indexed="81"/>
            <rFont val="Tahoma"/>
            <family val="2"/>
          </rPr>
          <t>Previsión</t>
        </r>
        <r>
          <rPr>
            <sz val="9"/>
            <color indexed="81"/>
            <rFont val="Tahoma"/>
            <family val="2"/>
          </rPr>
          <t>: AÑO 2031 (=AC38)</t>
        </r>
      </text>
    </comment>
    <comment ref="AD49" authorId="0" shapeId="0">
      <text>
        <r>
          <rPr>
            <b/>
            <sz val="9"/>
            <color indexed="81"/>
            <rFont val="Tahoma"/>
            <family val="2"/>
          </rPr>
          <t>Previsión</t>
        </r>
        <r>
          <rPr>
            <sz val="9"/>
            <color indexed="81"/>
            <rFont val="Tahoma"/>
            <family val="2"/>
          </rPr>
          <t>: AÑO 2032 (=AD38)</t>
        </r>
      </text>
    </comment>
    <comment ref="AE49" authorId="0" shapeId="0">
      <text>
        <r>
          <rPr>
            <b/>
            <sz val="9"/>
            <color indexed="81"/>
            <rFont val="Tahoma"/>
            <family val="2"/>
          </rPr>
          <t>Previsión</t>
        </r>
        <r>
          <rPr>
            <sz val="9"/>
            <color indexed="81"/>
            <rFont val="Tahoma"/>
            <family val="2"/>
          </rPr>
          <t>: AÑO 2033 (=AE38)</t>
        </r>
      </text>
    </comment>
    <comment ref="AF49" authorId="0" shapeId="0">
      <text>
        <r>
          <rPr>
            <b/>
            <sz val="9"/>
            <color indexed="81"/>
            <rFont val="Tahoma"/>
            <family val="2"/>
          </rPr>
          <t>Previsión</t>
        </r>
        <r>
          <rPr>
            <sz val="9"/>
            <color indexed="81"/>
            <rFont val="Tahoma"/>
            <family val="2"/>
          </rPr>
          <t>: AÑO 2034 (=AF38)</t>
        </r>
      </text>
    </comment>
    <comment ref="AG49" authorId="0" shapeId="0">
      <text>
        <r>
          <rPr>
            <b/>
            <sz val="9"/>
            <color indexed="81"/>
            <rFont val="Tahoma"/>
            <family val="2"/>
          </rPr>
          <t>Previsión</t>
        </r>
        <r>
          <rPr>
            <sz val="9"/>
            <color indexed="81"/>
            <rFont val="Tahoma"/>
            <family val="2"/>
          </rPr>
          <t>: AÑO 2035 (=AG38)</t>
        </r>
      </text>
    </comment>
    <comment ref="M55" authorId="0" shapeId="0">
      <text>
        <r>
          <rPr>
            <b/>
            <sz val="9"/>
            <color indexed="81"/>
            <rFont val="Tahoma"/>
            <family val="2"/>
          </rPr>
          <t>Previsión</t>
        </r>
        <r>
          <rPr>
            <sz val="9"/>
            <color indexed="81"/>
            <rFont val="Tahoma"/>
            <family val="2"/>
          </rPr>
          <t>: VAN e</t>
        </r>
      </text>
    </comment>
  </commentList>
</comments>
</file>

<file path=xl/sharedStrings.xml><?xml version="1.0" encoding="utf-8"?>
<sst xmlns="http://schemas.openxmlformats.org/spreadsheetml/2006/main" count="789" uniqueCount="368">
  <si>
    <t>Potencia Bruta (kW)</t>
  </si>
  <si>
    <t>Autoconsumos y pérdidas eléctricas (%)</t>
  </si>
  <si>
    <t>Potencia neta (KW)</t>
  </si>
  <si>
    <t>Horas de funcionamiento/día</t>
  </si>
  <si>
    <t>Días de funcionamiento/año</t>
  </si>
  <si>
    <t>Disponibil. Garantizada (horaria)</t>
  </si>
  <si>
    <t>Horas de funcionamiento</t>
  </si>
  <si>
    <t>Horas de funcionamiento acumuladas</t>
  </si>
  <si>
    <t>Energía exportada ciclo vapor (MWh/año)</t>
  </si>
  <si>
    <t>Energía exportada total (MWh/año)</t>
  </si>
  <si>
    <t>Año</t>
  </si>
  <si>
    <t>Precio Ofertado Base</t>
  </si>
  <si>
    <t>IPC</t>
  </si>
  <si>
    <t>Precio Proyectado (ctvs.US$/kWh)</t>
  </si>
  <si>
    <t>AÑO</t>
  </si>
  <si>
    <r>
      <t>US $/TmCO</t>
    </r>
    <r>
      <rPr>
        <b/>
        <vertAlign val="subscript"/>
        <sz val="11"/>
        <color theme="1"/>
        <rFont val="Calibri"/>
        <family val="2"/>
        <scheme val="minor"/>
      </rPr>
      <t>2</t>
    </r>
  </si>
  <si>
    <t xml:space="preserve">IPC </t>
  </si>
  <si>
    <t xml:space="preserve"> PRECIO (US $/TmCO2)</t>
  </si>
  <si>
    <t>INGRESOS  (US $/Tm CO2)</t>
  </si>
  <si>
    <t xml:space="preserve">VENTA DE BONOS DE CARBONO </t>
  </si>
  <si>
    <t>AÑO 2016</t>
  </si>
  <si>
    <t>AÑO 2017</t>
  </si>
  <si>
    <t>AÑO 2018</t>
  </si>
  <si>
    <t>AÑO 2019</t>
  </si>
  <si>
    <t>AÑO 2020</t>
  </si>
  <si>
    <t>AÑO 2021</t>
  </si>
  <si>
    <t>AÑO 2022</t>
  </si>
  <si>
    <t>AÑO 2023</t>
  </si>
  <si>
    <t>AÑO 2024</t>
  </si>
  <si>
    <t>AÑO 2025</t>
  </si>
  <si>
    <t>AÑO 2026</t>
  </si>
  <si>
    <t>AÑO 2027</t>
  </si>
  <si>
    <t>AÑO 2028</t>
  </si>
  <si>
    <t>AÑO 2029</t>
  </si>
  <si>
    <t>AÑO 2030</t>
  </si>
  <si>
    <t>AÑO 2031</t>
  </si>
  <si>
    <t>AÑO 2032</t>
  </si>
  <si>
    <t>AÑO 2033</t>
  </si>
  <si>
    <t>AÑO 2034</t>
  </si>
  <si>
    <t>AÑO 2035</t>
  </si>
  <si>
    <t>AÑO 2036</t>
  </si>
  <si>
    <t>Energía exportada total (KWh/año)</t>
  </si>
  <si>
    <t>Ingresos (US $/KWh)</t>
  </si>
  <si>
    <t>TOTAL</t>
  </si>
  <si>
    <t xml:space="preserve">COSTOS VARIABLES </t>
  </si>
  <si>
    <t>Costo de operación y mantenimiento</t>
  </si>
  <si>
    <t xml:space="preserve">Peaje </t>
  </si>
  <si>
    <t>Costo unitario variable de mant de aerogeneradores ( US$/MWh)</t>
  </si>
  <si>
    <t>O&amp;M=0.7 * 2.5% (inversión) +0.3* (17 USD/MWh *MWh generados)</t>
  </si>
  <si>
    <t>Costos de operación</t>
  </si>
  <si>
    <t>Arriendo de terreno</t>
  </si>
  <si>
    <t>Mantenimiento de viales</t>
  </si>
  <si>
    <t>Seguimiento medioambiental</t>
  </si>
  <si>
    <t>Seguros</t>
  </si>
  <si>
    <t xml:space="preserve">Técnicos de parque eólico </t>
  </si>
  <si>
    <t>Administración</t>
  </si>
  <si>
    <t>Equipos</t>
  </si>
  <si>
    <t>Obras civiles</t>
  </si>
  <si>
    <t>Servicios</t>
  </si>
  <si>
    <t>Actividades</t>
  </si>
  <si>
    <t>Inversión USD</t>
  </si>
  <si>
    <t>Administrativa</t>
  </si>
  <si>
    <t>Trámites y permisos</t>
  </si>
  <si>
    <t>Torres</t>
  </si>
  <si>
    <t>Aerogeneradores</t>
  </si>
  <si>
    <t>Movimiento de tierra</t>
  </si>
  <si>
    <t>Cimentación</t>
  </si>
  <si>
    <t>Accesos y Caminos</t>
  </si>
  <si>
    <t>Centro de Control</t>
  </si>
  <si>
    <t>Obra eléctrica</t>
  </si>
  <si>
    <t>Cableado Exterior</t>
  </si>
  <si>
    <t>Tomas a Tierra</t>
  </si>
  <si>
    <t>Instalación de transformadores</t>
  </si>
  <si>
    <t>Centro de seccionamiento y medidas</t>
  </si>
  <si>
    <t xml:space="preserve">Instalaciones de protección </t>
  </si>
  <si>
    <t>Ingeniería, Dirección de Obras</t>
  </si>
  <si>
    <t>Control de Calidad y Prevención</t>
  </si>
  <si>
    <t>Infraestructuras eléctricas y de comunicaciones</t>
  </si>
  <si>
    <t>Red de media tension MT 20KV acompañada de red de fibra óptica en tierra</t>
  </si>
  <si>
    <t>Inversiones en estudios geotecnico y ambiental</t>
  </si>
  <si>
    <t>Actividad</t>
  </si>
  <si>
    <t>Inversión (USD)</t>
  </si>
  <si>
    <t>Estudio recurso eólico</t>
  </si>
  <si>
    <t>Estudio Geotécnico</t>
  </si>
  <si>
    <t>Estudio de Impacto Ambiental</t>
  </si>
  <si>
    <t>Conexión a red Eléctrica</t>
  </si>
  <si>
    <t>VR</t>
  </si>
  <si>
    <t>ACTIVOS A DEPRECIAR</t>
  </si>
  <si>
    <t>MONTO</t>
  </si>
  <si>
    <t>VALOR RESIDUAL</t>
  </si>
  <si>
    <t>(US $)</t>
  </si>
  <si>
    <t xml:space="preserve">Inversiones en estudios geotecnico y ambiental </t>
  </si>
  <si>
    <t>Capital de trabajo</t>
  </si>
  <si>
    <t xml:space="preserve">TOTAL </t>
  </si>
  <si>
    <t xml:space="preserve">Activo corriente </t>
  </si>
  <si>
    <t>Pasivo corriente</t>
  </si>
  <si>
    <t>Caja</t>
  </si>
  <si>
    <t>Cuentas por pagar</t>
  </si>
  <si>
    <t>Cuentas por cobrar</t>
  </si>
  <si>
    <t>total pasivo corriente</t>
  </si>
  <si>
    <t xml:space="preserve">Gestión </t>
  </si>
  <si>
    <t>Cuentas por pagar para el pasivo corriente se necesita un financiamiento de proveedores a 6 meses de US$ 20000</t>
  </si>
  <si>
    <t>TASA DE INTERES</t>
  </si>
  <si>
    <t>AÑOS</t>
  </si>
  <si>
    <t>SALDO DEUDOR</t>
  </si>
  <si>
    <t>CUOTA</t>
  </si>
  <si>
    <t>DEUDA TOTAL</t>
  </si>
  <si>
    <t>Ingresos</t>
  </si>
  <si>
    <t>Bono de carbono</t>
  </si>
  <si>
    <t>Operación y mantenimiento de aerogeneradores</t>
  </si>
  <si>
    <t>Utilidad Bruta</t>
  </si>
  <si>
    <t>Impuesta a la renta (30%)</t>
  </si>
  <si>
    <t>Utilidad Neta</t>
  </si>
  <si>
    <t>Costo de oportunidad</t>
  </si>
  <si>
    <t>rf</t>
  </si>
  <si>
    <t xml:space="preserve">Rendimiento de bonos </t>
  </si>
  <si>
    <t>Ke=rf+bI(RM-rf)+riesgo país</t>
  </si>
  <si>
    <t>RM</t>
  </si>
  <si>
    <t>Bu</t>
  </si>
  <si>
    <t>Riesgo país (%)</t>
  </si>
  <si>
    <t>Rendimiento de mercado</t>
  </si>
  <si>
    <t>Beta desapalancada</t>
  </si>
  <si>
    <t>ke=</t>
  </si>
  <si>
    <t>Beta apalancada</t>
  </si>
  <si>
    <t>BL=Bu*[1+(1-T)*(D/C)]</t>
  </si>
  <si>
    <t>BL=</t>
  </si>
  <si>
    <t>T</t>
  </si>
  <si>
    <t>D</t>
  </si>
  <si>
    <t>C</t>
  </si>
  <si>
    <t>Impuesto a la renta (30%)</t>
  </si>
  <si>
    <t>Valor del capital del proy.</t>
  </si>
  <si>
    <t>Valor de la deuda del proy.</t>
  </si>
  <si>
    <t>WACC=Ke*(C/(D+C))+Kd*(1-T)*(D/(D+C))</t>
  </si>
  <si>
    <t>WACC=</t>
  </si>
  <si>
    <t>FUENTE:</t>
  </si>
  <si>
    <t>http://finance.yahoo.com/bonds</t>
  </si>
  <si>
    <t>US Treasury Bonds Rates</t>
  </si>
  <si>
    <t>Maturity</t>
  </si>
  <si>
    <t>Yield</t>
  </si>
  <si>
    <t>Yesterday</t>
  </si>
  <si>
    <t>Last Week</t>
  </si>
  <si>
    <t>Last Month</t>
  </si>
  <si>
    <t>3 Month</t>
  </si>
  <si>
    <t>6 Month</t>
  </si>
  <si>
    <t>2 Year</t>
  </si>
  <si>
    <t>3 Year</t>
  </si>
  <si>
    <t>5 Year</t>
  </si>
  <si>
    <t>10 Year</t>
  </si>
  <si>
    <t>30 Year</t>
  </si>
  <si>
    <t>Rendimiento de bonos</t>
  </si>
  <si>
    <t>http://pages.stern.nyu.edu/~adamodar/New_Home_Page/datafile/Betas.html</t>
  </si>
  <si>
    <t>Number of firms</t>
  </si>
  <si>
    <t>Beta </t>
  </si>
  <si>
    <t>D/E Ratio</t>
  </si>
  <si>
    <t>Tax rate</t>
  </si>
  <si>
    <t>Unlevered beta</t>
  </si>
  <si>
    <t>Industry Name</t>
  </si>
  <si>
    <t>Engineering/Construction</t>
  </si>
  <si>
    <t>https://www.google.com.pe/url?sa=t&amp;rct=j&amp;q=&amp;esrc=s&amp;source=web&amp;cd=1&amp;cad=rja&amp;uact=8&amp;ved=0ahUKEwjO5pbdtdfKAhUF6CYKHdSODaYQFggdMAA&amp;url=http%3A%2F%2Fwww.bcrp.gob.pe%2Fdocs%2FEstadisticas%2FCuadros-Estadisticos%2FNC_037.xls&amp;usg=AFQjCNG8tCou2_iemItNHbMGDXdL5iw6rA&amp;sig2=GFb9uy1dA_BSGMIv_q_eCw&amp;bvm=bv.113034660,d.eWE</t>
  </si>
  <si>
    <t>Excel</t>
  </si>
  <si>
    <t>http://www.ambito.com/economia/mercados/riesgo-pais/info/?id=13</t>
  </si>
  <si>
    <t>Gráfica</t>
  </si>
  <si>
    <t>Cuadro</t>
  </si>
  <si>
    <t>Beta sectorial y beta desapalancada</t>
  </si>
  <si>
    <t>Inversión total</t>
  </si>
  <si>
    <t>I</t>
  </si>
  <si>
    <t>WACC</t>
  </si>
  <si>
    <t>Gastos financieros</t>
  </si>
  <si>
    <t>Recuperación de capital de trabajo</t>
  </si>
  <si>
    <t>Inversión</t>
  </si>
  <si>
    <t>Cambio de capital de trabajo</t>
  </si>
  <si>
    <t>Depreciación</t>
  </si>
  <si>
    <t>Utilidad neta</t>
  </si>
  <si>
    <t>Estado de flujo efectivo</t>
  </si>
  <si>
    <t>FLUJO DE CAJA FINANCIERO</t>
  </si>
  <si>
    <t>DEFLACTOR</t>
  </si>
  <si>
    <t>FINANCIAMIENTO NETO</t>
  </si>
  <si>
    <t>ESCUDO FISCAL DE LA DEUDA</t>
  </si>
  <si>
    <t>INTERESES</t>
  </si>
  <si>
    <t>AMORTIZACIONES E INTERESES</t>
  </si>
  <si>
    <t xml:space="preserve">CONCEPTO </t>
  </si>
  <si>
    <t>Análisis de sensibilidad</t>
  </si>
  <si>
    <t xml:space="preserve">PROYECCIÓN DE PRECIOS </t>
  </si>
  <si>
    <t>CAPITAL DE TRABAJO</t>
  </si>
  <si>
    <t>INGRESOS</t>
  </si>
  <si>
    <t>FFN Económico</t>
  </si>
  <si>
    <t>VAN Económico</t>
  </si>
  <si>
    <t>VAN Financiero</t>
  </si>
  <si>
    <t>FC Económico</t>
  </si>
  <si>
    <t>FC Financiero</t>
  </si>
  <si>
    <t>EGRESOS</t>
  </si>
  <si>
    <t>Egresos</t>
  </si>
  <si>
    <t>WACC - Beta</t>
  </si>
  <si>
    <t>INVERSIÓN</t>
  </si>
  <si>
    <t>ESTRUCTURA FINANCIERA</t>
  </si>
  <si>
    <t>AMORTIZACIÓN</t>
  </si>
  <si>
    <t xml:space="preserve">FINANCIAMIENTO NETO SIN INFLACIÓN </t>
  </si>
  <si>
    <t>PRODUCCIÓN DE ENERGÍA</t>
  </si>
  <si>
    <t>BONOS DE CARBONO</t>
  </si>
  <si>
    <t>Reducción generación eléctrica (Tco2/GWh)</t>
  </si>
  <si>
    <t>Reducción de Tco2 -Proyecto 94 GWh</t>
  </si>
  <si>
    <t>Para el caso de Argentina de acuerdo a valores considerados por Fundación Bariloche, los costos variable de O&amp;M se ubican entre un 2% y 3% de la inversión incial en términos anuales, o 15%-20% de la venta anual de energía (Fuente: Evaluación económica financiera Proyecto Parque Eólico de 10MW- octubre 2008, MIEMDNETN, DIRECCIÓN NACIONAL DE ENERGÍA  Y TECNOLOGÍA NUCLEAR)</t>
  </si>
  <si>
    <t>Operación y mantenimiento de infraestructura eléctrica</t>
  </si>
  <si>
    <t xml:space="preserve"> 2 Técnico de parque</t>
  </si>
  <si>
    <t>RESUMEN DE INVERSIÓN</t>
  </si>
  <si>
    <t>VENTA DE ENERGÍA</t>
  </si>
  <si>
    <t>CÁLCULO DEL CAPITAL DE TRABAJO PARA 6 MESES DE OPERACIÓN DEL PARQUE EÓLICO</t>
  </si>
  <si>
    <t>Total activo corriente</t>
  </si>
  <si>
    <r>
      <rPr>
        <b/>
        <sz val="11"/>
        <color theme="1"/>
        <rFont val="Calibri"/>
        <family val="2"/>
        <scheme val="minor"/>
      </rPr>
      <t xml:space="preserve">Caja: </t>
    </r>
    <r>
      <rPr>
        <sz val="11"/>
        <color theme="1"/>
        <rFont val="Calibri"/>
        <family val="2"/>
        <scheme val="minor"/>
      </rPr>
      <t xml:space="preserve"> se requiere tener en bancos un disponible en efectivo de 72500 para pagar 12 meses de arriendo por capital de trabajo 3745644.258</t>
    </r>
  </si>
  <si>
    <r>
      <rPr>
        <b/>
        <sz val="11"/>
        <color theme="1"/>
        <rFont val="Calibri"/>
        <family val="2"/>
        <scheme val="minor"/>
      </rPr>
      <t xml:space="preserve">Cuentas por cobrar: </t>
    </r>
    <r>
      <rPr>
        <sz val="11"/>
        <color theme="1"/>
        <rFont val="Calibri"/>
        <family val="2"/>
        <scheme val="minor"/>
      </rPr>
      <t>se requiere un financiamiento de capital de trabajo para 6 meses de venta de energía con un promedio mensual de US$ 553 844.585</t>
    </r>
  </si>
  <si>
    <t>Inversiones en trámites - Equipos - Obras civiles - Obras eléctricas- Servicios- Infraestructura eléctrica</t>
  </si>
  <si>
    <t>Resumen de Inversión Total Parque Eólico 20MW</t>
  </si>
  <si>
    <t xml:space="preserve">Inversiones en trámites - equipos - obras civiles - obras eléctricas- servicios- infraestructura eléctrica </t>
  </si>
  <si>
    <t>TABLA DE DEPRECIACIONES PARQUE EÓLICO</t>
  </si>
  <si>
    <t>Años</t>
  </si>
  <si>
    <t>DEPRECIACIÓN ACUMULADA (20años)</t>
  </si>
  <si>
    <t xml:space="preserve">FLUJO DE CAJA ECONÓMICO </t>
  </si>
  <si>
    <t>FINANCIAMIENTO NETO SIN INFLACIÓN</t>
  </si>
  <si>
    <t>SALDO DE CAPITAL</t>
  </si>
  <si>
    <t>Depreciación + Amortización</t>
  </si>
  <si>
    <t>Venta de energía</t>
  </si>
  <si>
    <t>Costos de producción y mantenimiento de energía</t>
  </si>
  <si>
    <t>Valor residual</t>
  </si>
  <si>
    <t>Recup. C. Trabajo</t>
  </si>
  <si>
    <t xml:space="preserve">Reposición de préstamos </t>
  </si>
  <si>
    <t xml:space="preserve">F.F.N Financiación </t>
  </si>
  <si>
    <t xml:space="preserve">Depreciación </t>
  </si>
  <si>
    <t>DEPRECIACIÓN ANUAL</t>
  </si>
  <si>
    <t>Infraestructura eléctrica y de comunicaciones</t>
  </si>
  <si>
    <t>ESTADOS PRO-FORMA</t>
  </si>
  <si>
    <t>ACTIVO</t>
  </si>
  <si>
    <t xml:space="preserve">ACTIVO CORRIENTE </t>
  </si>
  <si>
    <t>CAJA</t>
  </si>
  <si>
    <t>ACTIVO FIJO</t>
  </si>
  <si>
    <t>EQUIPOS</t>
  </si>
  <si>
    <t xml:space="preserve">OBRAS CIVILES </t>
  </si>
  <si>
    <t>OBRAS ELÉCTRICAS</t>
  </si>
  <si>
    <t xml:space="preserve">INFRAESTRUCTURA A ELECT. Y COMUNICACIONES </t>
  </si>
  <si>
    <t xml:space="preserve">ACTIVOS INTANGIBLES </t>
  </si>
  <si>
    <t>PASIVO Y PATRIMONIO</t>
  </si>
  <si>
    <t>PASIVO</t>
  </si>
  <si>
    <t>DEUDA A LARGO PLAZO</t>
  </si>
  <si>
    <t>PATRIMONIO</t>
  </si>
  <si>
    <t>UTILIDADES RETENIDAS</t>
  </si>
  <si>
    <t>SERVICIOS</t>
  </si>
  <si>
    <t>TOTAL ACTIVO</t>
  </si>
  <si>
    <t>TOTAL PASIVO</t>
  </si>
  <si>
    <t>CAPITAL DEL ACCIONISTA</t>
  </si>
  <si>
    <t>DEPRECIACIÓN</t>
  </si>
  <si>
    <t xml:space="preserve">RESUMEN CUENTA DE EXPLOTACIÓN </t>
  </si>
  <si>
    <t>EBITDA</t>
  </si>
  <si>
    <t>EBIT</t>
  </si>
  <si>
    <t>BENEFICIO NETO</t>
  </si>
  <si>
    <t>ROE</t>
  </si>
  <si>
    <t>ROA</t>
  </si>
  <si>
    <t>RATIOS</t>
  </si>
  <si>
    <t>Evolución del beneficio de la planta eólica</t>
  </si>
  <si>
    <t>VAN ECONÓMICO</t>
  </si>
  <si>
    <t>VAN FINANCIERO</t>
  </si>
  <si>
    <t>Obras eléctricas</t>
  </si>
  <si>
    <t xml:space="preserve">CUADRO DE AMORTIZACIÓN DE DEUDA - MÉTODO ALEMÁN </t>
  </si>
  <si>
    <t>INTERÉS</t>
  </si>
  <si>
    <t>P y G ECONÓMICO</t>
  </si>
  <si>
    <t>P y G FINANCIERO</t>
  </si>
  <si>
    <t>Reducción de TCO2</t>
  </si>
  <si>
    <t>Costos de produccion y mantenimiento de energía</t>
  </si>
  <si>
    <t>Gastos financieros  (Intereses)</t>
  </si>
  <si>
    <t>Gastos financieros (Intereses)</t>
  </si>
  <si>
    <t>PERÍODO</t>
  </si>
  <si>
    <t>Kd=</t>
  </si>
  <si>
    <t xml:space="preserve">Valor residual de la inversión </t>
  </si>
  <si>
    <t xml:space="preserve">CUADRO DE FINANCIAMIENTO NETO SIN INFLACIÓN </t>
  </si>
  <si>
    <t>PRÉSTAMO RECIBIDO</t>
  </si>
  <si>
    <t>Períodos</t>
  </si>
  <si>
    <t>Ke</t>
  </si>
  <si>
    <t>VAN e</t>
  </si>
  <si>
    <t>TIR e</t>
  </si>
  <si>
    <t>VAN f</t>
  </si>
  <si>
    <t>TIR f</t>
  </si>
  <si>
    <t>AÑO 2015</t>
  </si>
  <si>
    <t>RATIOS REPRESENTATIVOS</t>
  </si>
  <si>
    <t>Beneficio neto / Ingresos</t>
  </si>
  <si>
    <t>EBIT / Ingresos</t>
  </si>
  <si>
    <t>EBITDA / Ingresos</t>
  </si>
  <si>
    <r>
      <t>RCSD</t>
    </r>
    <r>
      <rPr>
        <sz val="11"/>
        <color theme="1"/>
        <rFont val="Calibri"/>
        <family val="2"/>
        <scheme val="minor"/>
      </rPr>
      <t xml:space="preserve"> (Ratio de cobertura de servicio a la deuda)</t>
    </r>
  </si>
  <si>
    <t>MÍN</t>
  </si>
  <si>
    <t>MÁX</t>
  </si>
  <si>
    <t>MÁS PROBABLE</t>
  </si>
  <si>
    <t>COSTOS DE EXPLOTACIÓN</t>
  </si>
  <si>
    <t>SUPUESTO 1</t>
  </si>
  <si>
    <t>PRECIO</t>
  </si>
  <si>
    <t>Más probable</t>
  </si>
  <si>
    <t>SUPUESTO 2</t>
  </si>
  <si>
    <t>SUPUESTO 3</t>
  </si>
  <si>
    <t>SUPUESTO 4</t>
  </si>
  <si>
    <t>PRODUCCIÓN</t>
  </si>
  <si>
    <t>SUPUESTO 5</t>
  </si>
  <si>
    <t>INVERSIÓN TOTAL</t>
  </si>
  <si>
    <t>Supuestos</t>
  </si>
  <si>
    <t>ENDEUDAMIENTO</t>
  </si>
  <si>
    <t xml:space="preserve">COSTOS DE EXPLOTACIÓN </t>
  </si>
  <si>
    <t>P y G Financiero</t>
  </si>
  <si>
    <t xml:space="preserve">PRODUCCIÓN </t>
  </si>
  <si>
    <t>INV. TOTAL</t>
  </si>
  <si>
    <t>P Y G ECONÓMICO</t>
  </si>
  <si>
    <t>FCE</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</si>
  <si>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</si>
  <si>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</si>
  <si>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</si>
  <si>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</si>
  <si>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</si>
  <si>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</si>
  <si>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</si>
  <si>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</si>
  <si>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</si>
  <si>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</si>
  <si>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</si>
  <si>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</si>
  <si>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b5b2e5e8-8b9c-44a1-99b8-1cd1d3cb313c</t>
  </si>
  <si>
    <t>CB_Block_0</t>
  </si>
  <si>
    <t>Decisioneering:7.0.0.0</t>
  </si>
  <si>
    <t>ffafc442-1801-4cda-be67-45c9238174d5</t>
  </si>
  <si>
    <t>CB_Block_7.0.0.0:1</t>
  </si>
  <si>
    <t>Energía generada ciclo vapor (MWh/año)</t>
  </si>
  <si>
    <t>Autoconsumo +  pérdidas eléctricas (MWh/año)</t>
  </si>
  <si>
    <t>Promedio</t>
  </si>
  <si>
    <t>Base</t>
  </si>
  <si>
    <t>Unitario</t>
  </si>
  <si>
    <t xml:space="preserve">COSTOS DE EXPLOTACIÓN (Unitario) </t>
  </si>
  <si>
    <t>COSTO</t>
  </si>
  <si>
    <t>COSTOS UNITARIOS DE EXPLOTACIÓN</t>
  </si>
  <si>
    <t>CU. EXP.</t>
  </si>
  <si>
    <t>CB_Block_7.0.0.0:2</t>
  </si>
  <si>
    <t>㜸〱敤㕣㝢㜰㕣搵㜹摦戳搲慥昶慥㈴㙢㙤昹捤㑢㐰㜸㡡㉡㤶㡤㈱㐰㡣慤㠷㉤换昸㈱㤰㙣㐲㤳㡣戸摡扤搷㕡㝢ㅦ收敥㤵㙣〵㕡挸っ㤳㠶戶㜹㤴戶㐳愱㠴㄰搲㍣攸㠳㤴㐰㤸戶㤳㜶愶搳戴㐰敡㑣㤳〶摡㌲㑤愶㌴搳㘹晦㘸愷挳㑣晦㈱㈹つ晤晤扥㜳敥敥摤㤵昶㕡㉣搰㡡㡣慥扤摦㥥晢㍢摦㍤昷㍣扥昳㝤摦㌹摦㔹挵㔴㉣ㄶ㝢ㄳㄷ扦㜹戵㌳㜱晥攴㐲挵㜷㡡〳㈳攵㐲挱挹晡昹㜲愹㌲㌰攴㜹昶挲挱㝣挵㙦〳㐳㜲㍡㡦晣㑡㘲扡㤲晦㤸㤳㥡㥥㜷扣ち㤸ㄲ戱㔸㉡㘵挵㤱捦㐲昸挹〴㌷ㄶ㥦敡㙡〷㤹ㅡㄹ㍥㌲㜳〲愵㑥晡㘵捦戹愶敦㤸㝥㜶搷攰攰挰攰挰戵㍢〷户て㙣扢愶㙦㘴慥攰捦㜹捥慥㤲㌳攷㝢㜶攱㥡扥㠹戹㤹㐲㍥㝢㡢戳㌰㔵㍥改㤴㜶㌹㌳摢㜶捣搸搷㝥㘰昰摡㥤㍢摤ㅢ㙥昸㐰ㄷ㕥ㅤ㍢㍣㌲㍣攱㌹㙥攵ㅤ㉡㌳挱㉡㕦㍢敡㘴昳㙣㥢攳㜸昹搲昱㠱㤱㘱晣て搵ㅦ㜷搷て㑣捥㍡㡥捦㔷㍢㥥㔳捡㍡ㄵぢて㜶ㄶ㠷㉡㤵戹攲㈹㜶㥥㔵摣㠷愶㘶敤㡡㥦㈸㡥㌸㠵㠲㔵っ㑡㑤ㄵ㡦愰敦ち昶㐲㔷㜱搲㈹㔵昲㝥㝥㍥敦㉦㈴㡢㔳㈸㈸搷㕤㍣㕡㜱㙥戳㑢挷㥤挳㜶搱㐹ㄴ挷收昲戹㜶㝤挵摡慥〸㡡〸㔷㑣㥡㍦㌰㔴㈹㡥捣摡㥥搴愸挲㡥㠹攰摤攷㘵敢㜹㉦㙤㕥㉥慢㉥㙦㘰㤹㤷㌵攷㐳捥㌱摢慢㜲昶㌷攷㌴㡤慦慦挱晢㥢昳㠷晡愸晥㤹慢㥡㍦㈳㕤㔹捦慤㍡㡤㝣㑢㡦愲㌱㔶㤲愴㠳㈴㐵挲〱戴搲㈴㥤㈴㕤㈰慡晤扦㌰㑢挲て㌲㉢㍥㙤挷愷㘷攲搳搹昸㜴㉥㍥敤挴愷摤昸昴昱昸昴㙣㝣㍡ㅦ㥦㍥ㄱ㥦㍥〹㥥攰㑡㜵㜴挴捤戵攳戹捦昵㍥㜳敢㘳〷ㅦㅡ㜹攰㠷搷晤昴扣㝦敡㕡〳愶㕢㑤愵㐶㍤晢㌴㐴慤㈶挵㤸ㄱ晣㜷敥㔹㠱㐹攱敥㜴慦㜷〷〷㜳㍢户搹㍢散〴㥢ㄵ㌱昸㜵㠲㤲〱㙦㤷㝢㝢扥㤴㉢㥦㤶戱㍢㝦搸慥㌸戵㡥敢㌷㜹挳攵戹㔲慥㜲摥搲㤹㤳扥敤㍢㕢ㅢ昳㙡㠵㉣㝡㙣ㄲ搳捡愹挸晢㉥㙣㝣散㤸㕤㤸㜳㠶捥攴㜵昶〵つ搹挵〹慦㍣搳㍣㜷㥦攷摣㔵捤㕤㔴愳㈱㈸戵㜹㈹㝢㔱㉢㜵㤶慥㔷摦挸㙣戹攲㤴愴㝡晤挵㠹㝣昶愴攳㑤㍡㔴㠹㑥㑥㥡扡㠱㔹㘶搶昷ㅦ㈹愱愱㤸慤戹㑢挲愸扢昷㡣㡦挹散攴㔰摦㔳㡥攷㉦㑣搹㌳〵㘷㘳ㅤ㡢㝥㈷㌲戶搴挱晢捡搹戹捡㐸戹攴㝢攵㐲㝤捥㔰㙥摥㠶愶挹ㅤ㉡攷㥣昶昶㤸㈸〵㈸摣戶㌶愵㘲㔷㌷㥦ぢ㌲㄰愱㈱收㐴摥㕣㉦㜶〳户愱㜵㘸㐵挱愱㑣挶摦㜷㡥挲㔸㕦搱㌱ㄱ㌳㌰搴㈶摡て扥昴捡㜳ㄴ㕢ㅤ戹㜷㤷㌹ㅥ敦㌵慤摦㍢敦㤴晣晤㜶㈹㔷㜰扣㐸敢愷㔸㈳慢〷㈴昱ㅡㄴ㐲搳摥愳愹㔳㘷搴㐲攲㜴㍥攷捦㈶㘷㥤晣昱㔹ㅦㄸ㉣㘴㉡挵慥㕤㜴㔹㙢〱㔹敢㐸㝡㐱搲改㔸㜲㍤㤹㤲㘹㕣戱〴戵㔳挴㕣慥㔳攴㝣慥㙥㉥㜷戹晢昲〵摦搱㑡戹挷挵㠸㘸慢㈶挳搷㑤ㄱ昵散慣㌶ㄸ敢摤ㄱ㐸愹㥤㉦昹ぢ戵㜹扢㘸㤶㘸㈱㕡搵〵㉢㑥ㄷ㔰ㄵ搴敢㠳㠸戹〶愱㘹搰〶搱捣㈱㈱攲㌴㠸戰散㈸戹㕥挸挸ㅦ愱㈳挰ㅦㄶ㐲㜲㙦㙢慥㈳㈸散㡢㠵㤴て㌵㥤㡦慢摡㙣㈹㕦㕥㙢戳つ攸㌸㙢㈳挹㈶㤲捤㈴㕢㐰搴扦㐲挳㔱换㈱㕤㝦㔹攷攱摥㍡㥦攴〲㄰攸㈷㡢㍡挷愸㉡晡㔰换昱㈳挹搷つ㍦㔹㥣㘲慤㡡攸ㄹ㔷晤捣敥愲っ戴昱㍡㔷㠶慤㙤ㄷㅢ㝢㜹㜳搹っ㌷㠷ㄲㄹ挱ㅡ㙥敢㌹㔸挳ㅤ㐱搶ㄶ敤搶㐵㜸搴敡㈳戹ㄸ㈴㙤㕤㐲ち攳㐲㠷㜷㜹ㅥ㍤㕤捡昷㠴㕢愴㥤愱ㄶつ扣ㄱ㘴㉥〱㈲㤴摣愲攵换慡て㑤㜷戰摦㝤捦晢搰搷㌴㥦摦㘶搰ㅢ散收慡摤攱㝥搱㕢昴愲㉦挵昴㔲㍦㘸㙡㘳㉥㐳戶㜵㌹挹ㄵ㈰つ㌶㠶慢敦户扡㔳㈰㙥㜱㌱㌴㜲敢戸敢㈲㕥敥搴挲㈹㐷㉣㔰㤷㍢㘵㝢挷ㅤㅦ㍢ㄸ攳愳昰㠵换㥥攷ㄴ戰愸捤〹挰昵换愶㝡戰戲捦㉢ㄷ㠹慦晡挸㤵昷㠴㘱㘸㙦㡦户挵ㅡ㝣攴〸㕦㌳戴攷ㄴ㤲ㅣ摡攰ㅤ捤㤵㐴攸愱㝡昱攲㜳搱敢换㔵㑤搲㠲㈶戹ち摤㙡㕤つ〲㉤愱㕥㙥慡㔱慥㈱摢捦〹㕢扤挷捡ㅤ扥㠸搵㐹挳ㅥ攲㈲㍤搲愹㌷㙣㠷戱㝦㔰改㉥㑥收㡢㔵㘵搱㔹㥣㜰扣㉣昶ㄶ昲〵㈷慤户㘵愹㙡㔶㜵挵㝢㐴㔷戴戵㉤㕡㑦㐷散慦㠹㥣㌴㘸㠹挸搹ㅥ㤹ㄹ戱ㄶ慦〹ㄵ户㈱愹㔴㈲戶㠶慡ㅡ㠸㤲㐷摥㔵ㄵ搳㠲㡡㜹㍦㍡捥摡㐶㌲㐸戲ㅤ㈴昱ㅤ㘸㥡攵㜶㍣挳㘱ㅤ昳摣搲㥥㥥㡥愵㌸っ戲㐵㜸戶愹戲摡挹搷㕣㐷㜲㍤㐸㠳晢挳つ挸〸㐱㤴㈱て〹愲㠴㌱摣㘳㜹攷㌴㘵㘰㡤㡢挰搲挸㕣挵㉦ㄷㄹ㔹敡㜶㐷换㠷换晥㘸扥㜲ち㤱愸㕥搷㈴㙥㥦㜵㑡㤰㉥て扥㑦〳㔶㍥㜵捡挹㔹敥㘴㜹づ慡㙤㝣㜴㈵㉣捣搱ㅤ昰㈵㘵㙤ㅥ㔷戸㕡㕢ㅦ愳〸㠵㥥㤶晤㔶敥挶㉥㙢昷㥢㡢扥㥥㕡㡦㑥攵晤㠲搳改敡㐹挷㜴捡㐵㉦㈲㜲㤰敢㜰愷㘶㍤挷ㄹ敤㜶挷扣㝣慥㤰㉦㌹ㅣっ昸㤸っ搶ㅤ㜴㡥㈳㑡㌰㔱㘶っ戰㕣敡㜶愷㍣扢㔴㌹㘵㌳愰戸戰慥敥㑥挲㈲〹㜷㌸㕦慡攰㌵㌲㡡㑣昷戸㤳戳攵搳㠸搸捥ㄵ㑢㘳昶愹捡㡡ㄸㄵち扤扥㘴㘸㔴㕣挵攳㉡ㄵ㑦戵㍡㍥挹ㅢ㔰摡㘶〸愸敦攵㘷收戲昹扦㜸愶搴㌷攵攵ㄱ慦㤸㉢搸㕥㡣㙢㝥㑥捣㜶ㄲ愵挷㜱ㅤ㤲ㄱ愶㥤㑥扦〹攰搰㠹㘷㠵扢㄰㕡慡㠲㙤㤱㉡㥡搳搸扡㤱捦摣〴㜲㘰散攸㜸㉤㙣昷戶〲摡〹㠶〰㈲っ㠰挸㑣㌵㑡挲つ扣㌵㕡㡥㠸㔱慣㌰㍤㈱づ扣㙢㤴捤戴㉢㍣ㄴ捤㌵戵攴㍥㠴㤹扡摣㠳昶㡣㔳㐰戰扡㘸晢㙢昴つ㝤摣愲㕤愸㤸扣㤱㜲戱㘸㔳敥㈸戳㤳㔹㥢攲㍤㌴攷㤷て攵㑢㤶ぢ㈲挲㘹㈰晢っ㈰晢㡣㐰㕤敥㙤㡣ㅢ㑡㥡㘵㤵㡦摢㕥摥㥦㉤收戳㈹摥㌰戶户㈲〴ㄶ㘲㐳戵ㅣ㕣㠱㐲改㙢㜰昵㡦挲㥦慢っ㘰戸〷愰㘴搹㜵ㅣ㝥㠸㜵㕣㈵昱㑦戵戸敢〴敤㈳摢愸搶㉥㤴㤶㤰愳ㄳ搰㐷㜲扤ㄶㅣ搰㜸敤㕥㈰㘹敢㘶愰摣戸攳挸㐷㠸〹戶つ㐳㔶㠰㝢攰㐹昷㘸㈹敦㘳〴㌹㙡晢昲晥㘸〵挳づ㠲愴慣㝦户捡挸㠶ㅥ敡慦㥡㡤㡢ㄶ㘷搵搹㤱ぢㄷ攷㠷つ换晢㤶挸搶㈶㈷㘴㘹捥挵㈴愶㘷㠹㍡慥㈴㕢愴挴戲〷收㐸㐵敤慢搶晡㥤㥡攴㙤㔸㉥㤱㥢㤸戵〷愵攰愲ㄱ戳㠶㤰愰㠸㜰㘳㍦㕡㐴㐲㘱ㅤ㍡ち㘹ㅡ㌳㡤㜵㥢戸攱㌸捥愶攴㥣戴戹挳㍣㕦㘳㤲㐷收晣扡ㅣ晢㑣慦挹ㄹ㉡ㄴ㡥㤴愰愹戳戶㤷㕢㈱㔳ㅢ㙤搳㘶㐸㘶㘹慢㉥〲㑡挱ㄵ㥡㤰㤸㡥挳㐰搸搷㡣㥦㐴㙣ㄸ㘳㍡㘲㤲㠵㐲慦㜴攳扡搹摤㔵㌸挵扢㐳㡥㕤㤲㔱㤸昴㜳愳捥扣昸㙢㌵㤷扦㔷ㅥ愸㉥㉢㐵愷㕡敥搰㑣〵戶摦愷㑥㌷㈹㤹攸㤶㝢ㅢ昷慦㜰摡〱㉡搸愴㈶戲㍥㘲挰搵〲戸㠴㔸㌹㈳㠴ㅥ搱㌱ㄶ扡㜱搴愶挹〸攱慤㙦〴攷㔰㡢愳ち愵敡捡昵㥦扢搵㈳て昳㝡㜲㜷㉣㐸ㄸ㡦㤰㜱戱〸㑦〲㠳ㅢづ㘱㜲㈶昵〶㤱㜵慤攱㐴㜹㜵〵ㄸ摤㡤㙥晡㠶㥥㡦攳㍥っ㝡昵㜰敡ㄴ㜰㈰捥捦挳戲ㄶㄶ搶戸攳愵㙣㘱㉥攷㠸㔹づ㜴戶㔸攷ㄵ㌱㕥㜲㔶㔰捦愸㠸㝥㌱㥤㌲㡥㌵ㄷ㥢捣㐱㙡摤㐱户㐶昰戸㈸㍢㤴㤱戶昶攲㡥昳㡥搱捡㠸㍤㍣㠹㥥㉤㍡搴挰攸捥扡摡㘹〷㌹㘹〷搵戶〸愲㑥㍢㠸挳㝢搵㤰戳捣戸㄰摢挱昲挱㌲ㅤ晣㄰戴㍦慦愱ㄵ㌱㑥㘸愷㔶㝣挹㈴㥣㤳ㄶ㘷〸ぢ㠱搶㤳慦搸㙢昷㥡敦摤散㝦㡣㠰㘲㐰㤸㑢愶㔸㜲ㅦ㐸㝡扣㈴㘷㐲攱㥦㔷㥤昲㜸捤㈹㔷㡣ㅣ搳㌱户挶㐰ㄴ㐳挸昴㜷㘱户戴晦㌳㡥㜴戴晦㜳〰ㅣㅣ㜸〶㌴㈳㈲慣攱㘰㉣㘳㥣扤搸昰挷㌸㘲㤲㜱㈱㍥㔵收㑡㘲扤ㅣ㉣ぢ捥㌶昶ㄷ戱㠴㉡㝢ㅢㅢ挰〹摢挷昱㤹搲㤶〶㜸㈸㤷愳㐷㡣晤扤ㄵ㌱搰㌸晡愱㍤搶昵つ㠷扡愴㑤㜴晦㉥㙤挸㌰㠷つ户㡦づ散户晤散散愴扦愰て㝥戵㈸㈵㉡昱つ散㘷㉣昹㜶扡搵敤㈵ㅥ㘴㥤㘷摦愷㑦㤶捡愷㑢㔲慦㐴㠵愷〶改攸㕡ㅤㅤ慣㘴㍡昶㈶晥挹ㄵ㡦㈵㥥㐵㠹换愹㌶ぢ愸㙤戰戰ㅣ㕥㔰ㄲ㠷昰㐵㔹改挳㜷㠴慣挰挵慦㥥㍣愰慣慣㙦㤰ㄵ搱て慢挲㔲㍡晥㑥〹㑢㑣㝤ㅤ㐳㑢㠱挱㠰〷㠷㑣攲㌱昵㌴㙥㌸攸ㄸ〳づ摦〴扥㌸㝣ㄷ攳㍢㘲昸㐴挷㥢愳㈲㍣㔸昲戳㌳㔲挱慣㕥㜲㕡晤㕦㑣敡慦㘱㌰㘴㤸㌰㈶搵㜹愹㥥慡ㅦ愶㐹㍤㑣㡡㐷㑡㘴㉥㑦㈱ㄱ㕣〹㠶㝡摦㔲㔰㥤敤㕡㕤慢扥敢㠷㠷晦ㅦ搷慡挷㡣㜰挸㍥ㅤ㍣㠸换㜰㉦ㅥ〴晣㌲搵ㄶ愳户㈰㉥㠳㜱㌰㜸㄰㐰㕣㠶摢㤱㔰㍣ㄱ愰㕤〶戳㘵㜲〷㠰㐸㤷㠱㕥㑡㠲㜱挲〸㍦㌱ㄴ戶つ敤㠰㜰㤱戶戱挸敤戴晤㌸挴敢㔴㜰㌶〰〶慣㌲㠲つ慣㑤㡢攱〹摢戳㡢㕢〴ㅦ昳ㅣㄸ㌶㙦ち愷挲攵ㄱ㍥戱㜵挹ㅣ㜹㘸㠹㙤㡤㘰挷㝥㜵敢㘵㜹㘷攱㌱㔲晡搲愱〰㤵㔲挹户戱愹愲戸慣㠸摤扤晥愹戱㝦晥搸晤扢㜹昲捤挸㙡㠲愱收㔶挲晦昴㉢㄰㈰づㅤ㍡搹挰ㅦ昹ㅣ挲捦㥤昲愷ち捥戰敤㠹㐷㔴戱㡡㐱㔲ぢ㕥㐸㌰戵昰慤〴㜷ㄳ㘷㈸戴扢㌹搰戰㍢㉡㍦㤲㤲摤挴㠱㔰挵㘵晢㉦〸㐱慡愶挶慣㐵捦㌳昱㘵㤸愳户㔸㤱㝡㡦㤱ぢ㔳㕥㑡㝤㈹戰㜷ㅡ㠸挵㜶挲愲改㜰㠲攲ㄱ㠲㐰㑢㈱㤶㐱〹〹㙢㈹ㅥ㉥㄰㉤昵ㄱ㈴ㄲ㡣ㄹ㐶㐴改ㅡ挳挵摣㌲㔸㔵〲㑥昵〰㘱㡢㍦㠸㐱㉦搲㠲昰户㌰㙦㘳昲㜳㜷㈰㌰㑤っ晢㡡㑦昳㔱㈴㘴㈱㐳㘰㌰㐰敢㍣ㅤ摡慤㘵敦㔸昱㈵摤㐵ㅤ挴搳ㄳ㍢㔱攴㜶㕣扡戸户㌴㠷㔳㈴戰㌳㐹㌱ㄸ愵㜵㠴戱㌸㤵㜸㥦㘶㑤㙢㠸戴㐷㈷慢て㜵㥡㉣搸慣搲ㄶ慣㔰ㄱ㐸攴慦㡥㤸摦㕦㉢㝡㐳㘳づ㙤㕣愹〳つ攴〷晥搷㠵ㄱㄳㅢ㙦攵㡣㠱㠶㕤ㄶ㔷㑡ㅦ㌵㥦挶㈳㙣㜴㑣㔹戵愴摣㉢挶扢㠳㤹搵ㄶ㕦㘴晦ㄹ〹㤷㤹㜵㈷ㄲ㡡㈱昱㍡晢㍦〳攰㥣昶㕦㌱㔴㈷〳㤹㌵〹摥㈴ㄸ㙥㌹㘷㠴㠷㍤㠲つ㜰挴㝡㘴㤱㙣㐹㤲攱㜳㥤㥡挴て㘱㜵戶㘸㜰㙣㡤戵㌷ㅥ戳愸㍥㑢摦戶戳愹〲㘴㈸㈹昱㈸㔴㔰搳攷敢昵㔶戰搲㑤㍡㜸㜰晤愱㝣搶㉢㔷捡慥摦㌷㠹〰㜲ㅦ㝦挷收挲攷ㄹ㔲㡦㌴㉡戵㑢愹搴ㄸ㐷㤲づ㌹㡥㐴㠷昹㜴捤㈲㜱昸〸搴昸㘱挷㝦愷〲㥡㝢㔰收昲㐲㈱慣㐶㈶ㄴ㥦愲捤愸慣㜵㙦㥤戳ぢ昸㜱散ㄱ㙣㤲晡㠴㔶㠴〹搴㕢搵㡤㘷㐰搸㜵㌸〵㜶ぢ㜶㡣㥣挲〰愲㙢搲㠴て㝦㤴晤摡搸〷昵扣愶㙤ㄵ㜲戶戶㔱㤷㑥㍣㠴㤱㕥摥㕢敡〵㠹敦㙣挳㈷㙤㥤㈰㠵㑢㍥㠴㙦㤱㡥㤳㐸〴搲愱ㄸ散㄰戴㠰㐴㜰㈵戸㌱扢晣㕤㘰㍥摦㡢㤹㘲㝥㕥捥㙤戵晥〲㌶攳㤶ㄱ㙥㉦攲㔱戵㤷〴ㅦ㉢㕣〷㌵ㄶ愰㘵㈴攲昸昰㙣㠶ㅡ〷攱ㄴ㔷㥦㐵挷㜰㘲㈱ㅤ㑢摥〵搲㝣戶㝣㝡挹搹㜲㠰愵攰㘳㔵㐰慡晤挱晤㈵㐱晤㌰捡㙤ぢ㐱攷挲㈸㔷挹㠲捥㠷搰㑣㘰㐰ㄴ搷㐴㝢昰㐹慢〷㔰〱づ愴ㅥ㤰㌳挴㌰㈰戲昶㐱摡ち㥥㐰㍡愶戸昶㤱〶㝥〲て㔴ㅢ㜸㌷搰收つ扣㝦挹〶搲㙢㤱敡㠵换捦〴㔶捦晡㐵㘴㕢昷㤲摣㐷昲㜱㤰ㅥ慡㜱敡挶愴㡥㤶晣昱㙥愴㜱㝤搷㝣扦扡晢㍢㘷㜹晤挷㙥㜵㈷攰㐵㠵慢ㄹ愰㔲昹㕦〸㔷晥㝥愰捤㉢㝦昷㔲㤵捦㔰愷戳㈶搶㈷㐰扡摢㌲挷昱㤵攲晤㉦㤱㝣㤲攴〱㤲㕦㈶昹ㄵ㤲㕦㈵昹ㄴ㐸㕡㔱攴愵㜲㥦㐶㠲㥤捥㑦㠶㜲㉦㐵㝣〶〹敢戳㈴扦㐶昲㈰挹慦㤳晣〶挹㙦㠲愴㌳㠱㈸㉡㤱㔰攲〱㠲㜴㉣㐳㤹㤴敡㍤挴慣摦〲改㡥㘷㈸㐸昲㠲㠷〹㍥㐲昲摢㈴㡦㤲㝣㡥攴㌱㤲捦㠳愴㌳㍥愸㌰㍦㑥散ぢ㈴㑦㤰㝣㤱攴㜷㐸扥㐴昲㘵㤰㜴㠶㘲㈷捣㕦㈱昶㔵㤲㈷㐹㝥㤷攴昷㐸㝥㥦攴て㐰搲ㄹ㑡愳㌰㍦㐵散㙢㈴㝦㐸昲㌴挹搷㐹㥥㈱㜹ㄶ㈴慤㈸㡣搲㔵摦㐰㈲攸慡〴㘵㈳攲㐷㕦攲敢昲㠰㉣㕦㤳搴㥢散㐹敤攱愴㡡㘶㜷㝤㐵㘸㜴㌴㠹㥥㘳㔳昳㥣㙣昱㜰㠷㍡㄰〸敤晥晤㕡〵㔱㐵㔵㈷㡤㡥愲摣㡢捥㘱㐷慡昱㠰昹改攷㙡㕢㙥挸挰㠵㤹愵㤹敦挳㡤㌰愳㍣扤㍦户ㅤ扦搶㈳㡢㔶㝥晣㝥㌵㘰晥㌸㙥㠴㜹㉣㘰晥昷敤㕢慡捣挱ㅣ搵㈵㈷㌸㠱㈲搶㉤戲㤲ぢ晤㜲扦〷散〹㤷扥㔰愷慢㘱摡㍢㌹㉤㔰㄰㙦愸ぢ攷㠰㍣晣㜶晥㈰捥扣攱昴て㑣愳晥ㄳㅡ攳㌸ぢ㌷㙡晢㌶㝥ㅡ㍦㡦昳〵㥥㈵㜷㝣㌸改ㅥ昱〰㜴戸攳ㄵ慣㡦㜳㉢㑡㐴攰摡戵挷搱㘴㈳㈹昱愶愲ㄲ戱っ愸昵㐷㄰ㄳ㡤昳昸㔰㙢㈶㍦昹㈷愸㑢搳㔳㜱敤㙡㙦㌰攴戱晢㙡挲㘴㝤ㄳて㈵晦㤴慤㐰㤴㑣㈶㌴㐸摡晡㌳㈰㍡ち户ㅥ愹㔸㠲捡昳愶收敢〰㉥昳㠳㍦㠰㠰㐸㙦摤㕦㍡搸㡢扦㕣戰挰㥥㙡挳ㅦ㙥㐹挸愲愵㍤㝥㘳㙢㘵㔱㈸戸摥㤰捦ㅥ㌴攸㙤㤴㐳攵㔵㡢ㄴ戱㐴㙡戱戴晡㈴㈸㥢慢㜶愳㝣扥㠳换ㄱ㤸攲〰扥搹挰ㅢ〵愶ㄹㄱ敥㕤〶摥㈴㌰つ㡢挰ㅦ㌴昰㤵〲搳搴〸㝣㤳㠱慦ㄲ㤸挶㐷攰ㅢつ㑣㕢㥥捥搰〸㠹慤㜸ㅥ〹敢〵㤲ㄷ㤹愱㘸㠷㠴晦㍡挳慦㙢㑥换㈴昰㑥〳敢㥡搳㔶〹㝣慤㠱㜵捤㘹扤〴摥㘱㘰㕤㜳摡㌳㠱户ㅢ㔸搷㥣ㄶ㑥攰㐱〳敢㥡搳收〹扣捤挰㔲㜳㐵攳㐶昵㤱晣ㅥ㐸敦搰〹慣㔷㙤敦挶搰㈱㑤愵〶昰㠰㡥晡㠴挵昱晢㝣攸㈵㤰㌶㐴㜲昴戱㌷㡡攳换㐰㐲攲愸㘸㌷愵晣扦㐷㘲〳㘴ち㝦㔹愷搲㤷㜳晡㑥㜹捥㍣晥㔲て㈲捥㜱㜵㘵昰㠶戰㡥戳㕥㘱㔱㝣〳㡥改㤱愲昴㝦㈴㐴㌹ㄷㄲ㔳戴挲搲愸㑢㑤愳㜴昷搲㉥ぢ㝣㠹㠱㜵昷搲㔲ぢ㝣戱㠱㜵昷搲㜶ぢ摣㘷㘰摤扤戴收〲㕦㘴㘰摤扤㡦〵昰㠵〶搶摤㑢㡢㉦摣ㄷㄸ㔸㜷敦攳〱㝣扥㠱㜵〵扦㄰挰攷ㄹ㔸㔷㤰摥㠱ㄴ戲搵挰扡㠲㕦っ攰㉤〶搶ㄵ愴〷㈱摣㥢つ慣㉢㐸㥦㐲攰㑤〶搶ㄵ愴㤷㈱昰㐶〳戳㠲愹㈴〸慥搷摦㔴㕦挱㤷攴㙦㌰昹扡愶㕦つ攰昵〶搶㌵㝤㌲㠰㝢つ慣㙢㑡㘷㐵ち㔹㘷㘰㕤㔳扡㉦〲慦㌵戰慥㈹ㅤㅡ㠱㌳〶搶㌵愵㡢㈳㜰㡦㠱㜵㔷搲搵ㄱ㜸㡤㠱㜵〵改晣〸摣㙤㘰㕤㐱扡㐳〲㜷ㄹ㔸㔷昰改〰敥㌴戰慥㈰㕤㈶攱㑥ㅢ㔸㔷㤰㑥㤴挰㤶㠱㜵〵㥦つ攰㤴㠱愵㠲ㄹ扡㔷愲〴㝥㡣㠴昵ㄳ㤲晦〶㐹㈷愸戹㤷㙤㕢㈸敡㉤慥戴摥挰愳㡡昶㠰㘵㔸晦〳㐲㘵捥㡦㝡ㅥ㐴㕡ㄲ㌷㔵晥㈰㠰㔴㍣愹㕥〸㌲㤴挹搸㈵ㄹ㑡扤ㄸ㘴㌰搶㑢攵扡ㅢ㠰挵㠹慥㌸昵搹㈶㡢昳㔲㜱挶换ぢ摢㐰㉤挲〴㕥〱ㄱㅥㅥ㍡㔲㥣户挲㤳〸昳戰㥦愴㔲㍦昹愹㝥㐵㔰㈹昶㥤㘴晣搸㘴〴㤵㘲㝦㑡挶敢㈶㐳㉡㘵昱ㄵ㙦〴慦㐸攳㉥㘸㜷㠶㥤㈰㘳搲挹ㄷ㜷㠱㜴挷㝢搸㠸摢㤱ㄱ㍦愳戲㜷收敥扣昳昵㥥昶扥慤敤ㅦ摡搳昵昰慢摦晥搱㠳㉦㝤㘴搷扦扤昱攸愳㉦晤换㠳㘷摦昸收捣慥攷㥦㜸攲㕢〷㍥㝦昶㐷敢摣挷攳捦扤㝥昰昱㝢〶㑦摥㜳㤷㝢昴敡戱㝢敥㌸㜱敢攰挴摡晥戶戶㡥㡥㉢㝡㕦搸㝣㘵收扥扢晥㐸晤昹㉢㥢㑡愲慦昰㡥㤸搵つ㕡慤ぢ晢㈷㐳㜴つㄲ㔶て㐹㠶㘴㉤挹㍡㤲㕥㤲昵㈴ㅢ㐸㌶㠲㜴㜷㈸改㐱㍥户〹昷搵搲搸㤳㔲摡㘶戲㙥㈱搹㑡㜲ㅥ挹昹㈴ㄷ㤰㕣㐸㜲ㄱ㐹ㅦ㐸㜷㐷て㍢敢摤㙣㝣㠶晤㉦㕤㝥㌱摦㝡〹摦ㅡ㔷散㝥ㄹ戸ㅦ㥡㠱ㅢ㐶㠳㔲搸搰攲㤰㐸挶て㑣㠶戴改㌲愰ㄹ㜶㥥ㄴ㜴㌹ㄲ搶ㄵ㈰㈸㠸㝤㈷晣晦㄰收扦ち愸㘲㡦㑡搶摦㌵扣㠳扤㉣ㄹ㉦㥢っ慤㌹搸敦〲扦㘴㘰慤㌹㌸ㄲ〲㝦摦挰㕡㜳㜰㙣〴晥㕢〳㙢捤挱搱ㄲ昸㝢〶搶㥡㠳攳㈷昰㜷つ慣㌵〷㐷㔴攰扦㌱戰搶ㅣㅣ㔸㘹改㜶㈴慣ㅤ㈰㘸㈹挷㔵㜸捦ㅡ摥愰换㌸搶㤲昱搷㈶㐳㌷㠷愳㉦昰户つ慣㥢㐳㜹㄰昸㐵〳敢收㔰㐲〴㝥挱挰扡㌹㤴ㄹ㠱㥦㌷戰㙥づ愵㐸攰扦㌲戰㙥づ攵㑡攰扦㌴戰㌴㐷㔱搲〴晥㤶㠱㘵㑣㜷〱㑤㔰㈶㈲㝥愵㔳㜳戳㔳ㄴ㜸搹㕢愷挳扤㜸㝦㝤慤㌹愶搸㕦攵㔹㔷㐵慡摢敡㙢慡㤰散㤴扦搵㥤㜵っ〹㐷㈵㜶㐹㜳ㄷ㤸晢昶挱㡡㈰愵㤶捤㘸㜶搷㙦㐶㙦昰㔲㔶㌵㈵户㡡戳㐶愶捦㙥㈴㔸〷㘵㔵㔳㜲慢㌸㐳㐴扦敥㐱㐲㜱㠶〸晦㄰ㄲ㔲㠴㔵㑤挹慤攲昴ㄱ㡥㘱㈴㜴㠹搵㤴㉥㤱㜳㐸㑡ㅣ㐱㐲㔱ㄲ㠵㝦ㄴ〹㕤㘲㌵愵㑢愴㤸ち挷㕥㈴㜴㠹搵㤴㉥㤱㈳㉥㈵敥㐳㈲挱㈶㉥愳㠳挰搵慡晤ㅢ挳戳㡡晤挴㔷㔹晢㜹㈷扤㠳ㄲ慤㜱摣昱攲㤷㘲摦〸捦〱昲戰ㅦ攴敥ㄶ摥㐹敢挱㔴摤っㄲ㜳挶戶ぢ捦㈱昲戰㥤㜲㜷㤸㜷㙣ㅤ晥搷㥥攰㡤㤲捡㄰㥤〲〹㉥㈵㤵挲㥤㜵慢㜹㠸扣㤹㙡攵愴㍥捣づ敦㐴㈹愹ㄷ搱挹搰㐳㑡㙡戲㠸㔷㙡㐴昴㘸㠸㌷挳户㜱㑣慣㘳㐸㘰慢㡤〵挹晤敤晡㥥捣㜲晦㈱戹㔷㘴摢㑥晥㍢㤰愰㐲㠷〰搶㤲㜲慦昸愸昰晣㝣㡤愷㤶搴㍣㉣㑥㜸㍥㕣攳愹㈵㠵愷㠷攵昲㑡昶昰㘹㥤㈲㡦愴㍡晦ㄷ搰㔵㠳㥣</t>
  </si>
  <si>
    <t>㜸〱敤㕣㙢㜰㈴搵㜵㥥㍢搲㡣愶㐷搲㙡㔶摡㌷㉦〱收㈹㈲㔶ぢ㙢っ㜸扤慢挷慥㔶换㍥〴搲㉥㈶戶㑢戴㘶扡㔷挳捥㘳改㙥㘹㔷㠶ㄸ㕣㐵㌹戶㤳㌸づ㐹捡㠱㄰ㅢ攳昸㐱ㅥ㌸搸搸ㄵ愷㥣㔴愵攲〴㜰㜰搹㡥㈱〹ㄵ㈷㐵㕣愹攴㐷㔲㈹慡昲〷ㅣㄲ昲㝤攷摥㥥改ㄹ㘹㝡㠵㠰㐴愴搴扢㜳收昶㜷㑦摦扥㡦㜳捦㌹昷㥥㍢㑡愸㐴㈲昱㍡㉥㝥昳㙡㘷攲晣愹㐵㍦㜰捡㠳愳搵㔲挹挹〷挵㙡挵ㅦㅣ昶㍣㝢昱㜰搱て摡挰㤰㥥㈹㈲摦㑦捤昸挵て㍢㤹㤹〵挷昳挱㤴㑡㈴㌲ㄹ㉢㠹㝣ㄶ挲㑦㉥扣戱昸㔴㔷㍢挸昴攸挸戱搹扢㔰敡㔴㔰昵㥣㙢晡㑦攸㘷昷っつつづつ㕥扦㝢㘸搷攰捥㙢晡㐷攷㑢挱扣攷散愹㌸昳㠱㘷㤷慥改㥦㥣㥦㉤ㄵ昳户㌸㡢搳搵㔳㑥㘵㡦㌳扢昳扡㔹晢晡昷っ㕤扦㝢户㝢攳㡤敦改挲慢ㄳ㐷㐷㐷㈶㍤挷昵摦愲㌲㔳慣昲昵㘳㑥扥挸戶㌹㡥㔷慣㥣ㅣㅣㅤ挱晦㐸晤㜱㜷挳攰搴㥣攳〴㝣戵攳㌹㤵扣攳㕢㜸戰戳㍣散晢昳攵搳散㍣慢㝣〰㑤捤摢㝥㤰㉡㡦㍡愵㤲㔵づ㑢捤㤴㡦愱敦㑡昶㘲㔷㜹捡愹昸挵愰戸㔰っㄶ搳攵㘹ㄴ㔴攸㉥ㅦ昷㥤摢散捡㐹攷愸㕤㜶㔲攵昱昹㘲愱㕤㕦㠹戶㉢挲㈲愲ㄵ㤳收てづ晢攵搱㌹摢㤳ㅡ昹散㤸ㄸ摥〳㕥扥㤱昷搲搶攵戲敡昲〶㤶㜹㔹㙢㍥攴㥣戰扤ㅡ攷㐰㙢㑥搳昸挶ㅡ㕣摢㥡㍦搲㐷㡤捦㕣搵晡ㄹ改捡㐶㙥搵㘹攴㕢㝡ㄴ㡤戱搲㈴ㅤ㈴ㄹㄲづ愰㤵㈵改㈴改〲㔱敤晦㠱㔹ㄲ㝤㤰㔹挹ㄹ㍢㌹㌳㥢㥣挹㈷㘷ち挹ㄹ㈷㌹攳㈶㘷㑥㈶㘷收㤲㌳挵攴捣㕤挹㤹㔳攰〹慦㑣㐷㐷搲㕣扢晦攱愱慢㕥晤晥㐷づ㝦敢愲㍢㍥㜹敢戵扤挷扡㌶㠰改㔶㔳愹㌱捦㍥〳㔱慢㑢㌱㘶〴晦㥤㝢㔶㘰㔲戸扢摤ㅢ摣愱愱挲敥㥤昶㜵㜶㡡捤㡡ㄹ晣〶㐱挹㠱户换扤扤㔸㈹㔴捦挸搸㥤㍦㘲晢㑥扤攳〶㑣摥㐸㜵扥㔲昰捦㕢㍥㜳㉡戰〳㘷㐷㜳㕥扤㤰㈵㡦㑤㘱㕡㌹扥扣敦挲收挷㑥搸愵㜹㘷昸㙣㔱㘷㕦搰㤴㕤㥥昴慡戳慤㜳て㜸捥摤戵摣㈵㌵ㅡ㠶㔲㕢㤰戲㤷戴㔲㘷改㝡昵㡦捥㔵㝤愷㈲搵ㅢ㈸㑦ㄶ昳愷ㅣ㙦捡愱㑡㜴ち搲搴捤捣㌲戳㝥攰㔸〵つ挵㙣㉤㕣ㄲ㐵摤晤㘷〳㑣㘶愷㠰晡㥥㜶扣㘰㜱摡㥥㉤㌹㕢ㅡ㔸昴㍢㤱戱扤〱㍥㔰捤捦晢愳搵㑡攰㔵㑢㡤㌹挳㠵〵ㅢ㥡愶㜰愴㕡㜰摡摢ㄳ愲ㄴ愰㜰摢摡㤴㑡㕣摤㝡㉥挸㐰㐴㠶㤸ㄳ㜹㕢愳搸つ摥㠶搶愱ㄵ㈵㠷㌲㤹㝣搷㌹ち㘳㝤㐵挷挴捣挰㐸㥢㘸㍦昸搲㉢捦㔱㙣㙤攴摥㕥收㘴戲捦戴㝥晦㠲㔳〹づ摡㤵㐲挹昱㘲慤㥦㘲㡤慣ㅥ㤰搴换㔰〸㉤㝢㡦愶㑥㥤㔵㡢愹㌳挵㐲㌰㤷㥥㜳㡡㈷攷〲㘰戰㤰㤹っ扢㜶挹㘵㙤〴㘴昵㤲昴㠱㘴戳㠹昴㈶㌲愵戳戸ㄲ㈹㙡愷㤸戹摣愰挸昹㕣挳㕣敥㜲てㄴ㑢㠱愳㤵㜲㡦㡢ㄱ搱㔶㑤㠶慦㥢㈲敡搹㜹㙤㌰㌶戹愳㤰㔲扢㔸〹ㄶ敢昳㜶挹㉣搱㐲戴慥ぢ搶㥣㉥愰㉡㘸搴〷㌱㜳つ㐲搳愴つ攲㤹㈳㐲挴㘹㄰㘳搹㔱㜲愳㤰㤱㍦㐶㐷㠰㍦㉡㠴攴摥搹㕡㐷㔰搸㤷ち㈹ㅦ㙡㌹ㅦ搷戵搹㜲扥扣搶㘶㥢搱㜱搶ㄶ㤲慤㈴摢㐸戶㠳愸㝦㠶㠶愳㤶㐳扡昱戲捥挳扤㜵㍥挹〵㈰搰㑦ㄶ㜵㡥㔱㔵昴愱㔶攲㐷㤲慦ㅢ㝥戲㌸挵㕡ㄵ搱㌳慥昹㤹摤㘵ㄹ㘸攳㜵慥つ㕢摢㉥㌶昶昲搶戲ㄹ㙤づ㈵㌲㠶㌵摡搶㜳戰㐶㍢㠲慣慢戴㕢ㄷ攱㔱慢㥦攴㘲㤰慣㜵〹㈹㡣ぢㅤ摥㤵㜹昴㜴㈹摦ㄱ㙥㤱㜶㠶㔶㘹攰㡤㈰㜳〹㄰愳攴㤶㉣㕦搶㝤㘸扡㠳〳敥㍢摥㠷扥愶昵晣㌶㠳摥㘴㌷搷敤づ昷㡢摥愰ㄷ㝤㈹愶㤷晡㜱㑢ㅢ㜳ㄹ戲慤换㐹慥〰㘹戲㌱㕣㝤扦搱㥤〲㜱㡢换㤱㤱敢攵慥㡢㜸戹搳㡢愷ㅤ戱㐰㕤敥戴敤㥤㜴〲散㘰㑣㡣挱ㄷ慥㝡㥥㔳挲愲戶㈰〰搷㉦㕢ㅢ㐱晦㠰㔷㉤ㄳ㕦昷㤱晤㜷㠴㘱㘸㙦㑦戶㈵㥡㝣攴ㄸ㕦㌳戲攷ㄴ㤱ㅣ摡攰敢㕡㉢㠹挸㐳㡤攲挵攷攲搷㤷敢㥡㘴ㄵ㥡攴㉡㜴慢㜵㌵〸戴㠴㝡愱愵㐶戹㠶㙣㍦㈳㙣㡤ㅥ㉢㜷昸㘲㔶㈷㑤㝢㠸㑢昴㐸愷摥戰ㅤ挱晥㠱摦㕤㥥㉡㤶㙢捡愲戳㍣改㜸㜹散㉤ㄴ㑢㑥㔶㙦换㔲搵慣敢㡡㜷㠸慥㘸㙢㕢戲㥥㡥搹㕦ㄳ㌹㘹搲ㄲ戱戳㍤㌶㌳㘶㉤㕥ㄷ㉡㙥㐳㔲愹挴㙣つ搵㌴㄰㈵㡦扣敢㉡㘶ㄵ㉡收㕡㜴㥣戵㤳㘴㠸㘴ㄷ㐸敡㝢搰㌴㉢敤㜸㠶挳㍡ㄶ戸愵㍤㌳㤳挸㜰ㄸ㘴㡢昰戹㤶捡㙡㌷㕦昳㙥㤲ㅢ㐰㥡摣ㅦ㙥㐰挶〸愲っ㜹㐴㄰㈵㡣攱㥥㈸㍡㘷㈸〳ㅢ㕣〴㤶㐶攷晤愰㕡㘶㘴愹摢ㅤ慢ㅥ慤〶㘳㐵晦㌴㈲㔱㝤慥㐹摣㍥攷㔴㈰㕤ㅥ㝣㥦㈶慣㝡晡戴㔳戰摣愹敡㍣㔴摢挴搸㕡㔸㤸愳㍢攰㑢捡摡㍣愹㜰慤㙥㝤㡣㈲ㄴ㝡㕡昶㕢戹ㅢ扢愲摤㙦㉥晡㝡敡㍤㍡㕤っ㑡㑥愷慢㈷ㅤ搳ㄹㄷ扤㠸挸㐱愱挳㥤㥥昳ㅣ㘷慣摢ㅤ昷㡡㠵㔲戱攲㜰㌰攰㘳㌲㔸㜷搸㌹㠹㈸挱㘴㤵㌱挰㙡愵摢㥤昶散㡡㝦摡㘶㐰㜱戱户攱㑥挲㈲㈹㜷愴㔸昱昱ㅡㄹ㐵愶㝢摣愹戹敡ㄹ㐴㙣攷换㤵㜱晢戴扦㈶㐶㠵㐲慦㉦ㄹㅡ㤵㔴挹愴捡㈴㌳慢ㅤ㥦昴㡤㈸㙤ㅢ〴㌴昰㡡戳昳昹攲㥦㝤扤搲㍦敤ㄵㄱ慦㤸㉦搹㕥㠲㙢㝥㑥捣㜶ㄲ愵挷戱ㄷ挹ㄸ搳㑥愷摦〴㜰攸挴戳挲㕤〸㉤搵挰戶㔸ㄵ捤㘹㙣摤挴㘷㙥〶㌹㌴㝥㝣愲ㅥ戶㝢㔳〱敤ㄴ㐳〰㌱〶㐰㘴愶ㄶ㈵攱〶摥〶㉤㐷挴㈸㔶㤸㥥㄰〷摥㌵换㘶搶ㄵㅥ㡡收㠶㝡昲〰挲㑣㕤敥㘱㝢搶㈹㈱㔸㕤戶㠳つ晡㠶㍥㙥搹㉥昹㈶㙦戴㕡㉥摢㤴㍢捡散㔴摥愶㜸て捦〷搵㈳挵㡡攵㠲㠸㜰ㅡ挸㍥ぢ挸㍥㉢㔰㤷㝢ㅢ攳㠶㤲㘶㔹搵㤳戶㔷っ收捡挵㝣㠶㌷㡣敤慤〹㠱㠵搸㔰㉤㠷㔷愸㔰晡㥢㕣晤攳昰攷晣㐱っ昷㈰㤴㉣扢㡥挳て戱㑥慡㌴晥愹㔵敥㍡㐱晢挸㌶慡戵〷愵愵攴攸〴昴㤱㕣㉦㠷〷㌴㕥扥て㐸搶㝡ㅦ㔰㙥摣㜱攴㘳挴〴摢㠶ㄱ㉢挰㍤昰戴㝢扣㔲っ㌰㠲ㅣ戵〳挵㘰捣挷戰㠳㈰㈹敢摦ㅤ㌲戲㤱㠷〶㙡㘶攳愲愵㔹つ㜶攴挲愵昹㔱挳昲慥㘵戲戵挹㠹㔸㥡㜳㌱㠹改㔹愶㡥㙢挹ㄶ㈹戱散愱㌹㔲㜱晢慡昵㝥愷㈶㜹ㄳ㤶㑢攴㈶㘱敤㐳㈹戸㘸挴慣㘱㈴㈸㈲摣搸㡦ㄷ㤱㐸㔸㠷㡥㐲㤶挶㑣㘳摤㈶㙥㌸㠱戳㈹〵㈷㙢敥㌰捦㌷㤸攴戱昹愰㈱挷㍥摢㘷㜲㠶㑢愵㘳ㄵ㘸敡扣敤ㄵ搶挸搴㐶摢戴ㄹ㤲㔹扡㕡ㄷ〱愵攰㡡㑣㐸㑣挷ㄱ㈰散㙢挶㑦㘲㌶㡣㌱ㅤ㌱挹㈲愱㔷扡㜱摤散敥ㅡ㥣攱摤ㄱ挷慥挸㈸㑣〵㠵㌱㘷㐱晣戵扡换摦㈷て搴㤶㤵愲㔳㉤㜷㜸搶㠷敤て愸搳㑤㑡㈶扡攵摥挶晤㉢㥣㜶㠰ち㌶愹挹㝣㠰ㄸ㜰慤〰㉥㈱搶捥〸愱㐷㜴㡣㠵㙥ㅣ戵㘹㍡㐶㜸ㅢㅢ挱㌹戴捡㔱㠵㔲㜵攵晡昷扤敡攱㠷㜸㍤扥㌷ㄱ㈶㡣㐷挸戸㔸㡣㈷㠱挱㡤㠶㌰㌹㤳晡挲挸扡搶㜰愲扣扡㐲㡣敥㐶㌷㝤㐳㉦挰㜱ㅦ〶扤㝡㌸㜵㑡㌸㄰ㄷㄴ㘱㔹㑢㡢ㅢ摣㠹㑡扥㌴㕦㜰挴㉣㠷㍡㕢慣昳㥡ㄸ㉦㌹㉢愸㘷㔴㑣扦㤸㑥㤹挰㥡㡢㑤收㈰慤摥㐱户㐶昱戸㈸㍢㤴㤱戵昶攳㡥昳㡥搱捡㤸㍤㍣㠹㥥㉤㌹搴挰攸㑥㙦晤戴㠳㥣戴㠳㙡㕢〲㔱愷ㅤ挶攱扤㕡挸㔹㘶㕣㠴敤㜰昵㜰㤵づ㝥〴㍡㔸搴搰㥡ㄸ㈷戴㔳㉢扥㜴ㅡ捥挹㉡㘷〸ぢ㠱搶㤳慦挴换昷㤹敦扤散㝦㡣㠰㘲㐰㤸㑢愶㐴晡〰㐸㜶愲㈲㘷㐲攱㥦搷㥣昲㘴摤㈹㔷㡣ㅣ搳㌱户挶㐱ㄴ㐳挸昴㜷㘱户戴晦㌳㠱㜴扣晦㜳〸ㅣㅣ㜸〶㌴㘳㈲慣搱㘰㉣㘳㥣㝤搸昰挷㌸㘲㤲㜱㈱㍥㕤攵㑡㘲㤳ㅣ㉣ぢ捦㌶づ㤴戱㠴慡㝡㕢㥡挰㐹㍢挰昱㤹捡昶㈶㜸戸㔰愰㐷㡣晤扤㌵㌱搰㌸晡愱㍤搶㑤㑤㠷扡愴㑤㜴晦㉥㙤捡㌰㠷つ㜷㡤つㅥ戴㠳晣摣㔴戰愸て㝥慤㔲㑡㔴敡ㅢ搸捦㔸昶敤㜴慢摢㉢㍣挸扡挰扥捦㥥慡㔴捦㔴愴㕥㈹㥦愷〶改攸㕡ㅤㅤ慣㘴㌶昱㍡晥挹㤵㑣愴㥥㐲㠹㉢愹㌶ぢ愸㙦戰戰ㅣ㕥㔰ㄲ㐷昰㐵㔹改挷㜷㡣慣挰挵慦㥤㍣愰慣㙣㙡㤲ㄵ搱て敢挲㔲㌹昹㔶〹㑢㐲㝤つ㐳㑢㠱挱㠰㠷㠷㑣㤲〹昵㈴㙥㌸攸ㄸ〳づ摦㈴扥㌸㝣ㄷ攳㍢㘶昸㐴挷㥢愳㈲㍣㔸昲晦㘷愴挲㔹扤散戴晡摦㤸搴㕦挵㘰挸㌰㘱㑣㙡昳㔲㍤搱㌸㑣㔳㝡㤸ㄴ㡦㤴挸㕣㥥㐶㈲扣㔲っ昵扥愱愰㍡摢戵扥㔶㝤摢てて晦ㅦ慥㔵㑦ㄸ攱㤰㝤㍡㜸㄰㤷攱㕥㍣〸昸㘵慡㉤㐱㙦㐱㕣〶攳㘰昰㈰㠰戸っ户㈳愱㜸㈲㐰扢っ㘶换攴づ〰戱㉥〳扤㤴ㄴ攳㠴㌱㝥㘲㈴㙣ㅢ搹〱攱㈲㙤㑢㤹摢㘹〷㜱㠸搷昱㜱㌶〰〶捣ㅦ挵〶搶搶愵昰愴敤搹攵敤㠲㡦㝢づっ㥢㌷㡤㔳攱昲〸㥦搸戱㙣㡥㍣戴捣戶㐶戸㘳扦扥昵戲戲戳昰ㄸ㈹㝤改㔰㠰捡愸昴㥢搸㔴㔱㕣㔶㈴敥搹昴挴昸㍦㝥昸㠱扤㍣昹㘶㘴㌵挵㔰昳㙡挲晦昴㉢㄰㈰㡥ㅣ㍡搹捣ㅦ昹ㅣ挱捦㥤㡡愷㑢捥㠸敤㠹㐷攴㕢攵㌰愹〵㉦㈲㤸㕡昸搶㠲扢㠹㌳ㄴ摡摤ㅣ㙣摡ㅤ㤵ㅦ㐹挹㙥攲㘰愴攲戲晤ㄷ㠶㈰㔵㑢㘳戶㑡捦㌳昵㈵㤸愳㌷㔸㤱㐶㡦㤱ぢ㔳㕥㑡㝤㌱戴㜷ㅡ㐸㈴㜶挳愲改㜰㠲攲ㄱ㠲㔰㑢㈱㤶㐱〹㠹㙡㈹ㅥ㉥㄰㉤昵㐱㈴㔲㡣ㄹ挶㐴改㥡挳挵摣㌲㔸㔷〲㑥敤〰攱㉡㝦㄰㠳㕥愴〵攱㙦㘱摥挴攴攷敥㐰㘸㥡ㄸ昶ㄵ㥦收㐳㐸挸㐲㠶挰㔰㠸㌶㜸㍡戴㕢㉢摥戱攲㑢扡换㍡㠸愷㈷㜶慡捣敤戸㙣㜹㝦㘵ㅥ愷㐸㘰㘷搲㘲㌰㉡扤㠴戱㌸㤵㜸㥦㘶捤㙡㠸戴㐷㈷㙢て㜵㥡㉣搸慣捡㜶慣㔰ㄱ㐸攴慦㡥㤸㍦㔰㉦㝡㜳㜳づ㙤㕣愵〳つ攴〷晥搷㠵㌱ㄳㅢ㙦攵㡣㠱㠶㕤ㄱ㔷㐶ㅦ㌵㥦挱㈳㙣㜴㐲㔹昵愴摣㉢挶扢挳㤹搵㤶㕣㘲晦ㄹ〹㤷㤹㜵㈷ㄲ㡡㈱昱〶晢㍦ぢ攰㥣昶㕦㌱㔴㈷〳㤹㌷㠹㌶㍥挶㜰换㌹㈳㍣散ㄱ㙣㠰㈳搶㈳㡢㘴㑢㤲っ㥦敢搴ㄴ㝥〸慢戳㐵㠳㘳㙢慣扤昹㤸㐵敤㔹晡戶㥤㉤ㄵ㈰㐳㐹愹㐷愰㠲㕡㍥摦愸户挲㤵㙥摡挱㠳㥢㡥ㄴ昳㕥搵慦扡㐱晦ㄴ〲挸晤晣ㅤ㥢ぢ㥦㘷㔸㍤摣慣搴㉥愵㔲㘳ㅣ㐹㍡攴㈴ㄲㅤ收搳㌵㠷挴搱㘳㔰攳㐷㥤攰慤ち㘸敥㐳㤹㉢ぢ㠵戰ㅡ戹㐸㝣㡡㌶挳摦攸摥㍡㙦㤷昰攳搸㘳搸㈴つ〸慤〹ㄳ愸户慡㥢捦㠰戰敢㜰ち散ㄶ散ㄸ㌹愵㐱㐴搷愴〹ㅦ昸㄰晢戵戹てㅡ㜹㑤摢㝣㜲慥㙥愳㉥㥢晡っ㐶㝡㘵㙦㘹ㄴ㈴扥㤳昳㈱㙢摤㐵ち㤷㝣ㄸ摦㈲ㅤ愷㤰〸愵㐳㌱搸㈱㘸〹㠹昰㑡㡤㈲戵昲㕤㘰㍥摦㠷㤹㘲㝥㕥捥㙤戵㠱ㄲ㌶攳㔶㄰㙥㉦攳㔱戵㥦〴ㅦ㉢㕡〷㌵ㅥ愲㔵㈴㤲昸昰㙣㠶㥡〰攱ㄴ㔷㥦㐶挷㜰㘲㈱㥤㐸摦つ搲㝡戶㝣㙡搹搹㜲㠸愵攰㘳昹㈰戵晥攰晥㤲愰㐱ㄴ攵戶㠵愰昳㔱㤴慢㘴㐱ㄷ㈲㘸㉥㌴㈰㡡㙢愲㝤昸㘴搵㈷㔰〱づ愴ㅥ㤰戳挴㌰㈰戲昶㐱摡ち㥦㐰㍡愱戸昶㤱〶㝥って搴ㅡ㜸て搰搶つ㝣㘰搹〶搲㙢㤱敡㐵换捦㠵㔶捦晡〸戲慤晢㐸敥㈷昹㈸㐸て搵㌸㜵㘳㕡㐷㑢扥戵ㄷ㘹㕣㍦㌰摦㉦敤晤摥㜳扣晥㙤慦扡ㄳ昰㤲挲搵㉣㔰愹晣捦㐵㉢晦〰搰搶㤵扦㘷戹捡攷昲㜸㠶㌵戱㍥〶搲摤㤶㍢㠹慦っ敦㝦㥥攴攳㈴㥦㈰昹㈴挹㉦㤰晣㈲挹㉦㠱㘴ㄵ㐵㕥㉡昷㈹㈴搸改晣攴㈸昷㔲挴㉦㈳㘱㝤㥡攴㔷㐸ㅥ㈴昹㔵㤲㕦㈳昹㜵㤰㙣㉥ㄴ㐵㈵ㄲ㑡㍣㐴㤰㑥攴㈸㤳㔲扤捦㌰敢㌷㐰扡㤳㌹ち㤲扣攰㈱㠲て㤳晣㈶挹㈳㈴扦㐵昲㔹㤲捦㠱㘴㜳〱愸㌰㍦㑡散昳㈴㡦㤱㝣㠱攴户㐹扥㐸昲㈵㤰㙣㡥㘲㈷捣㕦㈶昶ㄵ㤲挷㐹㝥㠷攴㜷㐹㝥㡦攴昷㐱戲㌹㑡愳㌰㍦㐱散慢㈴㝦㐰昲㈴挹搷㐸扥㑥昲ㄴ㐸㔶㔱ㄸ愵慢扥㠱㐴搸㔵㈹捡㐶捣㡦扥挴搷攵〱㔹扥㈶慤㌷搹搳摡挳挹㤴捤敥晡㥡搰攸㘸ㄲ㍤挷㤶收㌹扤捡挳ㅤ敡㔰㈸戴〷て㙡ㄵ㐴ㄵ㔵㥢㌴㍡㡡㜲ㅦ㍡㠷ㅤ愹㈶㐲收㈷扦㔹摦㜲㐳〶㉥捣㉣捤㝣㍦㙥㠴ㄹ攵改晤戹㕤昸戵ㅥ㔹戴昲攳昷㑢㈱昳㐷㜱㈳捣攳㈱昳扦敥摡㕥㘳づ攷愸㉥㌹挵〹ㄴ戳㙥㤱㤵㕣攴㤷晢㍤㘰㑦戹昴㠵㍡㕤つ搳摥挹㘹㠱㤲㜸㐳㕤㌸〷攴攱户昳㠷㜱收つ愷㝦㘰ㅡ昵㥦搰㤸挰㔹戸㌱㍢戰昱搳昸〵㥣㉦昰㉣戹攳挳㘹昷㤸〷愰挳㥤昰戱㍥㉥慣㈹ㄱ㠱㙢搷㥥㐴㤳㡤愴㈴㕢㡡㑡捣㌲愰摥ㅦ㘱㑣㌴挹攳㐳慢㌳昹改㍦㐲㕤㕡㥥㡡㙢㔷晢挳㈱㑦摣㕦ㄷ㈶敢摢㜸㈸晤挷㙣〵愲㘴㌲愱㐱戲搶㥦〰搱㔱戸㑤㐸㈵㔲㔴㥥㌷户㕥〷㜰㤹ㅦ晥〱〴㐴㝡ㅢ晥搲挱㝥晣攵㠲㐵昶㔴ㅢ晥㜰㑢㑡ㄶ㉤敤挹㥢㔶㔷ㄶ㠵㠲敢つ昹散㐳㠳摥㐴㌹㔴㕥昵㐸ㄱ㑢愴ㄶ换慡㡦㠳戲戹㙡㉦捡攷㍢戸ㅣ㠱㈹づ攱昷ㄹ㜸㡢挰㌴㈳挲扤挷挰㕢〵愶㘱ㄱ昸扤〶扥㔲㘰㥡ㅡ㠱㙦㌶昰㔵〲搳昸〸㝣㤳㠱㘹换戳㌹ㅡ㈱戱ㄵ㑦㈳㘱㍤㐳昲㉣㌳ㄴ敤㤰昰扦摢昰敢㥡搳㌲〹扣摢挰扡收戴㔵〲㕦㙦㘰㕤㜳㕡㉦㠱慦㌳戰慥㌹敤㤹挰扢っ慣㙢㑥ぢ㈷昰㤰㠱㜵捤㘹昳〴摥㘹㘰愹戹愲㜱愳晡㐸晦㄰愴㙦昸㉥慣㔷㙤敦愶挸㈱㑤愵〶昱㠰㡥晡㐴挵昱㐷㝣攸㜹㤰㌶㐴㜲昴戱㌷㡡攳ぢ㐰㈲攲愸㘸㌷愵晣扦㐱㘲㌳㘴ち㝦㔹挷敦㉦㌸晤愷㍤㘷〱㝦愹〷ㄱ攷愴扡㌲㝣㐳㔴挷㔹㉦戲㈸扥〱挷昴㐸㔱晡摦ㄱ愲㥣ぢ㐹㈸㕡㘱㘹搴愵愶㔱扡㝢㘹㤷〵扥挴挰扡㝢㘹愹〵扥搸挰扡㝢㘹扢〵敥㌷戰敥㕥㕡㜳㠱㉦㌲戰敥摥捦㠶昰㠵〶搶摤㑢㡢㉦摣ㄷㄸ㔸㜷敦愳㈱㝣扥㠱㜵〵㍦ㅦ挲攷ㄹ㔸㔷㤰摥㠱ㄴ戲挳挰扡㠲㕦〸攱敤〶搶ㄵ愴〷㈱摣摢っ慣㉢㐸㥦㐲攰慤〶搶ㄵ愴㤷㈱昰ㄶ〳戳㠲㤹㌴〸慥㔷㕥㔷㕦挶㤷攴㙦㌶昹扡愶㕦〹攱㑤〶搶㌵㝤㍣㠴晢っ慣㙢㑡㘷㐵ち改㌵戰慥㈹摤ㄷ㠱㌷ㅡ㔸搷㤴づ㡤挰㌹〳敢㥡搲挵ㄱ戸挷挰扡㉢改敡〸扣挱挰扡㠲㜴㝥〴敥㌶戰慥㈰摤㈱㠱扢っ慣㉢昸㘴〸㜷ㅡ㔸㔷㤰㉥㤳㜰㘷つ慣㉢㐸㈷㑡㘰换挰扡㠲㑦㠵㜰挶挰㔲挱ㅣ摤㉢㔱〲慦㈲㘱晤㤴攴㍦㐱戲㈹㙡敥ㄵ摢ㄶ㡡晡㉡㔷㕡慦攱㔱㐵㝢挰㌲慣晦〲愱㌲攷㐷㍤つ㈲㉤㐹㥡㉡扦ㄷ㐰㈶㤹㔶捦㠴ㄹ捡㘴散㤱っ愵㥥つ㌳ㄸ敢愵㜲摤ぢ挰攲㐴㔷㥣晡㙣㤳挵㜹愹㌸攳攵㠵㙤愰ㄶ㘱〲㉦㠲〸ててㅤ㈹捥㕢攱㐹㐵㜹搸㑦㔲愹㥦晥户㝥㐵㔸㈹昶㥤㘴扣㙡㌲挲㑡戱㍦㈵攳ㄵ㤳㈱㤵戲昸㡡搷挲㔷㘴㜱ㄷ戶㍢挷㑥㤰㌱改攴㡢扢㐰扡㤳㍤㙣挴敤挸㐸㥥㔵昹㍢ぢ㜷摥昹㑡㑦㝢晦㡥昶昷敦敢㝡攸愵敦晥攴挱攷㍦戸攷㕦㕥㝢攴㤱攷晦改挱攷㕥晢昶散㥥愷ㅦ㝢散㍢㠷㍥昷摣㑦㝡摤㐷㤳摦㝣攵昰愳昷づ㥤扡昷㙥昷昸搵攳昷摥㜱搷慤㐳㤳ㅢ〷摡摡㍡㍡慥攸㝢㘶摢㤵戹晢敦晥㐳昵愷㉦㙥慤㠸扥挲㍢ㄲ㔶㌷㘸慤㉥散㥦ㅣ搱つ㐸㔸㍤㈴㌹㤲㡤㈴扤㈴㝤㈴㥢㐸㌶㤳㙣〱改敥㔰搲㠳㝣㙥㉢敥㙢愵戱㈷愵戴㙤㘴摤㑥戲㠳攴㍣㤲昳㐹㉥㈰戹㤰攴㈲㤲㝥㤰敥㡥ㅥ㜶搶摢搹昸ㅣ晢㕦扡晣㘲扥昵ㄲ扥㌵愹搸晤㌲㜰㝦㙦〶㙥〴つ捡㘰㐳㡢㐳㈲ㄹ㍦㌶ㄹ搲愶换㠰收搸㜹㔲搰攵㐸㔸㔷㠰愰㈰昶㥤昰晦㙤㤴晦㉡愰㡡㍤㉡㔹㝦摤昴づ昶戲㘴扣㘰㌲戴收㘰扦ぢ晣扣㠱戵收攰㐸〸晣㈳〳㙢捤挱戱ㄱ昸慦っ慣㌵〷㐷㑢攰ㅦㅡ㔸㙢づ㡥㥦挰㍦㌰戰搶ㅣㅣ㔱㠱扦㙦㘰慤㌹㌸戰搲搲㕤㐸㔸搷㠱愰愵ㅣ㔷攱㝤捥昰㠶㕤挶戱㤶㡣扦㌴ㄹ扡㌹ㅣ㝤㠱扦㙢㘰摤ㅣ捡㠳挰捦ㅡ㔸㌷㠷ㄲ㈲昰㌳〶搶捤愱捣〸晣戴㠱㜵㜳㈸㐵〲晦㠵㠱㜵㜳㈸㔷〲晦戹㠱愵㌹㡡㤲㈶昰㜷っ㉣㘳扡〷㘸㡡㌲ㄱ昳㉢㥤扡㥢㥤愱挰换摥㍡ㅤ敥愵晢敢ㅢ捤㌱挵㠱ㅡ㑦㙦つ愹㙤慢㙦愸㐱戲㔳晥㐶㜷搶㌱㈴ㅣ㤵挴㈵慤㕤㘰敥摢㠷㉢㠲㡣㕡㌱愳搹㕤㝦ㅦ㝡㠳㤷戲㙡㈹戹㔵㥣㌵㌲㝤昶㈲挱㍡㈸慢㤶㤲㕢挵ㄹ㈲晡㜵ㅦㄲ㡡㌳㐴昸㠷㤱㤰㈲慣㕡㑡㙥ㄵ愷㡦㜰㡣㈰愱㑢慣愵㜴㠹㥣㐳㔲攲㈸ㄲ㡡㤲㈸晣㘳㐸攸ㄲ㙢㈹㕤㈲挵㔴㌸昶㈳愱㑢慣愵㜴㠹ㅣ㜱㈹昱〰ㄲ㈹㌶㜱〵ㅤ〴慥搵摡扦㜱㍣慢搸㑦㝣㤵㜵㤰㜷搲㍢㈸戱戶〱〷㄰晢愴㈱捦㈱昲戰ㅦ攴㠹㕢㜸㈷慤攷ㄳ攱㘶㤰㤸㌳戶㕤㜸㡥㤰㠷敤㤴扢愳扣㘳敢昰扦晥〴㙦㤴㔴㠶攸㌴㐸㜸㈹愹ㄴ敥慣㕢捤㐳挲㉢搵㈰ㅡ扥㤳晣㑡慡㐳㜴㉡捡㉢ㄵ㔸挲㉢ㄵ㈱㝡㍣挲㥢攳㑢㌸ㄴ搶〹㈴戰挳挶㠲攴晥㜶㝤㑦㘶戹㝦扦摣㉢戲敤㈲晦ㅤ㐸㔰㡦㐳敥敡㐹戹㔷㝣㔴㜸㝥戶捥㔳㑦㙡ㅥㄶ㈷㍣ㅦ愸昳搴㤳挲搳挳㜲㜹愵㝢昸戴㑥㤱㐷㔲㥤晦〳㠹攷㠲㕣</t>
  </si>
  <si>
    <t>P</t>
  </si>
  <si>
    <t>PRECIOS BASE</t>
  </si>
  <si>
    <t>COSTOS BASE</t>
  </si>
  <si>
    <t>㜸〱敤㝤㜷㝣㔴挵ㄶ㝦㈶㘵挹㕤㑡ㄶ戰㈰㔸㠲愲搲㡣搹㘴㌷攵㈹㔲㐲㔵㝡㔷㐴摣㙣㠱㐸ち㈶愱㔹戱昷㠶〵ㄵ㝤㘲挵摥㝢挱摥㝢敦扤户昷慣㠸㍥㝤晥扥摦㌳㌳㜷敦㤶〴昰昷昸晣晣攳户㘴扦摣昹捥㤹㌳㜳捥㤹戹㝢换搹扤㌹㉡㈷㈷攷㑦扣昸㍦㕦昹摣搸㝡捡搲㤶搶㜸㐳㐹㑤㔳㝤㝤㍣摡㕡搷搴搸㔲㌲戴戹㌹戲㜴㙣㕤㑢㙢ㅥ〴㝣㜳敡㔰摦㔲㌰愷愵敥愰㜸攱㥣㐵昱收ㄶ〸ㄵ攴攴ㄴㄶ㍡戹愸摦挲扣〳戶攰戰㤵㤳㑦㠰㔴㡥攳㈳㜴㈰ㄴㄲㅣ㠲㥦搰㤱搰㠹搰㤹搰㠵㔰㐴〸㄰扡ㄲ扡ㄱ扡ㄳ㌶㈳㙣㑥㘰㠷捥㤶㠴ㅥ㠰㑥㕢〱愶搶っ㥢㔰㝢〰㠶㍦愵戵愹㌹㍥戰㜸扡ㅥ攴愰㘰戰㈴㔸ㄲち〷换㑡㑡〷ㄶ搷㉣慣㙦㕤搸ㅣㅦ搴ㄸ㕦搸摡ㅣ愹ㅦ㔸㍣㜱㘱㙤㝤㕤㜴慦昸搲愹㑤昳攳㡤㠳攲戵愵攵戵㤱㔰㔵㌰ㄴづ㈷慡慢慢㍡昵㠴收昱㌵挳㈶㌶挷ㄳ㉤晦㉢㥤扤愸㜳㐲捤戰㤲昱昱搶晦㤵捥慤愱ㄳ㉡㠷㌷㌵㐴敡ㅡ晦㐷㑡ぢㄸ挴昲攱昱㘸ㅤ愳ㅤ㡦㌷搷㌵捥㉤挱戰㔳ㅣ㡤㔲㘵挹㐸㜸㍣ㅡ㘹㘹慤㠹搷搷㑦㡥㈷ㄸ攸㑥つ昴㔹扣㌹摥ㄸ㡤户㜴㘹ㄸ戱㈴ㅡ慦㌷搵㉤㠵つ搳㈳捤攳㈳つ昱㝣㙥ㄴ㌵攸戸㡤㠹挵ㅢ㕢敢㕡㤷㜶㙥㤸搶ㄲ㥦ㅣ㘹㥣ㅢ愷㐸㐱挳愸㠵㜵戱晣㝣㤵㥦㥦㤳户㜳戶挱㐸㙣㑡㐶㌶㐷㙢收㐵㥡㕢愵挴愸〵戳挹㝡㘶㠸っ㍣㘵㔸㥣㐵挵㘹慤ㄸ愶㈹㜵つ㝢挵㥢ㅢ攳昵散㠴挱ㅢ㤰㈶㈴㍥搱慥㜷㥤㘳慤㘱㘰㔴㐷戳挰㘸ち㝢㜱戶㈱㙣ぢ昰㙤〷挸ㅦ㌴㈵ㄴ㜴㡡挹昵〶愸晣昷戰㐲扤㙤戸㑡㜲攷㐴㜲攷搴收捥㠹收捥㠹攵捥㠹攷捥㐹攴捥㤹㥢㍢㘷㕥敥㥣扡摣㌹〷攴捥㤹てㄹ晢㉡散搰㈱搷扣昶㙤㕣㜰攵收挷㉥搸昳㤴ㅢ愶昵搸㍥戰昸搳〲㉥捡㜰㌶〳搲㝤㌳戴愵㘵㘱挳〲敥つ㑣摣㘴改㌶っ㙦㘹㥤ㄸ㘹㙥㘸昹摦〶ㄸ攱㕤㕦㠴㠷戶㌴㙣晡〸愳㤳晦㐹㠴㝤㍢挰捤㈵㔳㥢敢㌰㡦ㄷ搶㐷㥡〷㡥慢㙢ㅣ㔴㕡㔲㕡ㄱㅥ㌸戶㙥㝥扣扥㉥摥搲捡㜲㘵攵挰㜱㤱㈵摣慡慡㜶晡愰㡤戳㈳挰户ㄳ㈰㙦搰搸戰戳㌳愹扥〰愵㕥挷愴攰挴㔸搷㜱㔲攳㡡愶㥡㘱㉢㕥㥢昲㕤挳敦愷㔵㉡敥㘱㘵㝦摢㥦挲〳〰扥㠱㠰㠲㐱㐳㠷㘳㕡敤㐲戲〴愰搴㡢㐶㐳换㐳㤷㑦晢昷㥦户敤㜹挲㤱㐷つ晡攸㤶㝥㙢ㄴ㜷捦㥣ㄷ扥㔲挰捣㡣㔱〷㑢㉢挳愱㔰㜵戸摡扣慡㔲㙣〸〶慢㐳搵愱㜲㕢㔹㙤㉤ち㤶〷㐳愱昲㉡户愲捡〹㐲扢㔳挶㝥捡〱戰慦摡〹㤱ち〳㤴㝡捡㡣㉥㘷搱㕢㉢㜳㥢扢㡥扦㘶敤ㄹ㉦攷散慢㠶㈸敥㑥挴扥㑡ち㔷〱㝣搵㠰晣㐱ㄳ㘱摥㍦挸敤〶㔰敡ㄱ愳愰㘶晥挸㜳敦㥣扤捤戰㡢㜷戸攴攰㠵㜳㝦晢㔸㜱攲㡡㠲㐱ㄴ摥〳攰ㅢっ㠰㠳㐶㐲挳㄰㤲㐳〱㑡慤㌱ㅡ㕥㝢晡㈹晦慦搵晢㑦㔸昱挲㌹㍢㍥戰㜴㕤㡢攲〷㤶㘸愸愱昰㜰㠰㙦〴〰ㅡ㠶㐲挳㐸㤲愳〰㑡摤㘹㌴㜴㍣昷晥㡦㥤㤳㙥ㅦ㜵搴㉥て㥥㌶㌳㜸摢㘰挵㑦㍢搱㌰㠶挲㝢〲㝣㝢〱昲〷㡤㠷㠲戱攴挶〱㤴扡搹㈸ㄸ晤搱㜵㘷摥搵戰㝤捤〵ㄷ散ㄱ晥搳慦摥㔰ㅤ㔱㉤ち㈶㔰㜸㈲挰㌷〹㤰㍦㘸ㄲㄴ㑣㈶㌷〵愰搴戵㐶挱㤷㙦㉤㥡戴㜰挶㤰愱㤷㜵ㅦ㜰敥慡敦戶㤸愶昸㈹㉢ち愶㔱㜸㍡挰㌷〳〰ㅢ㙡愰㘱㈶挹扤〱㑡㕤㘱㌴㡣扦㌱敦愴扣㍥㙢㈶ㅣ晢㑡晦㈷捥㤸昱㔴㥤攲㐷戴㘸㤸㐵攱㝤〱扥搹㠰晣㐱搳愰㘰㍦㜲㜳〰㑡慤㌲ち㠶㝤晥昰㙥搳㜶㍡㜸搸㤹捦㈵㙥㉣㉡昸晤ㄵ挵㡦㜷㔱㄰愱㜰㉤挰ㄷ〵攴て摡ㅢち㘲攴攲〰愵捥㌷ち㍥扦㙢慢㉦摥扢攸慣愱ㄷ㜴㕣晤昹挴愳㝦㍤㐱昱搰㐰ㄴ捣愵昰㍣㠰慦づ㤰㍦㘸㈶ㄴㅣ㐰㙥㍥㐰愹戳㡣㠲㤹愵慦捥㙡昹晡㕦㝢摤㜸㔱搱攵敦㍦昱㙤㠹攲㘱㠵㈸㘸愰㜰㈳挰搷〴挸ㅦ㌴ㄵちㄶ㤰㍢㄰愰搴愹㐶挱愲挳晥昳敢敢〳づㅤ㜷㝢挷㙥㍦㥥㍤收㠳戵㡡㠷㈴愲愰㠵挲慤〰摦㐲㐰晥愰㝤愰㘰ㄱ戹挵〰愵㡥㌷ち㍥摤挷㜷捡愹捤摦㡦扢㙤敥扢㝤ㅦ㍥㜱昸㝢㡡㠷㌳愲㘰㈹㠵て〲昸づ〶㈰っ挳愰攱㄰㤲㠷〲㤴㍡搲㘸攸搱昹慥戹㉢㙢㉡昷㍣慥㙢昷㥦晢づ摤㘷㠶攲戱㤰慣搶挳戱㌱㉢㘳戵㤶㤶㤵㔷㔴㔶㤴〵换㉡㉢㉡慡慡㉢㑢㉢换㔲㤶㙢㘹㔹戸㌲㔸㕡㔱㔹ㅤっ㤶㤶㤵㠶换㐲㔵㜶て㔴㔶㔹㠹攳愴㔰㌸ㄴ㉥て〷换㐳㘵㈱㘷ㄹ㍡㜰㡥〰昸㡥〴㘰挱㔶㌸㐷㤱㍡ㅡ愰搴挱㘶㠰挷扥晡㘸昱昸㈳㥦ㄹ㝥昲挲愷㜶っ捣ㅤ㝦愴攲㜱㥡っ昰㔸㙣㑣㐹ㅢ㘰㜹愸扡㌲ㄸっ㤵㤵㠴㉡㉢挲攱慡愰㘷㜰攵㔵㔵攱㡡慡戲㔰㐹㜵㘵㜹㜵戸㍣ㄴち捡搰㐲㘵㤵愱戲㜰㘹㈵㕡㘰㔸㔵㤵㔵㘱攷㌸㡥攲㜸㠰敦〴〰〶㔶攵㥣㐸敡㈴㠰㔲慤㘶㘰攳㐳㠷㥥搳昷捣挲〹㤷捥ㅦ扤挷ㅦ户㝤㔷愵㜸散㈸扥㍦㠵挲愷〲㝣愷〱昲〷捤㠰敢㑦㈷㜷〶㐰愹㐶愳攰挶㤵㍦散㌹敡㤹扣㜱㉢㑦㉤摥㘷摡㙢慦㠴ㄵ㡦㍢㐵挱㤹ㄴ㍥ぢ攰㍢ㅢ㤰㍦㘸㍡ㄴ㥣㐳㙥〵㐰愹㜹㐶挱ㄳ㉢㔶慦㕢㜹捤搳挳㤷敦㝢挲㜳扤㍥扤扦㡢摡ㄲ搵愲攰㍣ち㥦て昰慤〴攴て㥡〰〵ㄷ㤰扢㄰愰㔴慤㔱㜰捤摢㥦敦㤳昳㙢愷㥡㌳㑡㠶慦扥晦扥搸慦㡡挷扢愲攰㈲ち慦〲昸㉥〶攴て㥡っ〵㤷㤰扢ㄴ愰搴扥㐶挱㉥㕤慥㜹攷扥㜵㔷㡣扡攳昵㥡㙦敥晥愴散㥣㑥㤷愳㝡㤲㌹ㅥㄹ摥ㅣ㔹㡣㠳扡攴昱㈲づ㤲昹㙦晤〷捡㌸㑥㑥㠴ㄳ㤵㠹㘰㌰ㄶ㉥㡤㤴㐷ち戶㠱摡つ㍤㍣攳晣攸㤴㤸㔱搷ㄸ㙢㕡㉣挷㙢㥤ㄲ㈳敢敡㕢攳捤㔲㈸㑡攰㍦㝤捣㈹攵捥㠹ㄱ㑢㜰戰ㅥ搵㠷㜶㥢㈵㙡攲捤慤㌸挸㙤㕤㥡㍣ㅡ搸㝡㔸愴㈵㥥㉣づ㌰扡㠷㌵㉤㙣㡣戵昴捡㕥㌹愵㌵搲ㅡ敦㤹㕥㤷㔴㤲搱㙣ちづ㠰攳㉤㌲愴㙤搳㥢㑤㡦搴㉦㡣て㕤㔲愷慢户㐹慢挶愱㜰㔳㙤摢戵㈳㥢攳〷扡戵ㄹ㈳ㅡ㡡ㄳ戲㐵愲㍢挳㑡㕤愵挷㔵㕣㌳慦愹㈵摥㈸挳ㅢ搰㌰戱㉥㍡㍦摥㍣㈵捥搳戹㜸㑣㑣摤㥣㔵收㜸㝣挰㠴㐶ㄸ㡡㈳散搸昶㕥㤶㡥㡥㌷挶攲㌱㡣㜷〱扣扣㜴㙡愴戶㍥扥㐵㡡㠸敥ㄳㄵ㕢愵搰㈳㥢愲ぢ㕢㙡㥡ㅡ㕢㥢㥢敡㔳㙢㠶挶ㄶ㐵㜰づ㄰ㅢ搷ㄴ㡢攷换㉢㐷愳捡挹换㔳㉡愷㙦戶㘳㔱敡㙥攱攱戶㘷㤲昰愰扥㝤㘱捦㈴愲㜰搶挳㜴㔷㌳㌶㍣㤳㡣昲晤摡ㅤ㠹㜷ㄲ㔲扡戴㕤改㉣㤳㤴㡤㝡愴㉥扣㤲挹㠸て攲㔰ㅦ攷慡捣敤搳戶捡攴扣㕣捦㐸㍤㔱攱搹㍢愵摢㜱㥡愸㑤捥扤㑤㉡㥣㥢摢摤㔸㍦㘲ㄱ捥昴㐶㐷ㅡ㘳昵昱收㜶慦㍤㈸づ摦戹㠲戰㥡㜰㈵攱㉡挲搵㠰㠲㘹搸挷戵改㔱㝥〰愹㈵㙡㘹挱攲扡㔸敢㍣摦扣㜸摤摣㜹晣戸挶㌵㡢挲㐲扡㥢㐷て㝣㍦㠲㡢ㄶ㥦㈸〸㍢搷愲攴㕣㐷戸ㅥ攰昷攷昸㙥挰晦㌹㍥扦㜳㈳晦扢〹戰昹㜴っ㍤搲ㄸ㈹㡥挵㡢ㄷ㌴挷ㄷ攱搴昸攱㕢ㅡ晤㌹〵㍣㤹摢昸㔳㑥㜴㥤攳挸ㄹ㉥㉥㐱戴ㄴ㌴攰㐴扡㈵㉦㉦㥢㑦㐶㐷㕡收戵㜲㌹戶㕢戹ㄵ昵摤㑣戸〵搰改㔶挰昸搱昱㝡㉣收晦搵搵㡢㠲㘲攸㕣敦㔹㌲て㜲戶㘸㤸戲戴㌱㍡慦戹愹ㄱㄷ㡤㠶㐷㕡㈳㐳愳戸ㄴ搰愲㈲扥㠶戱㑤㌵ぢ㕢㝤つ愳敢昰㕦愷㠶挹昱〵昱㐸㙢つ㜶搶慤㥤ㅢ挶攲㌲㠲散㑤挷挴㤶ㄴ㌴攸㉢〰挳攳㉤㔱㠷㤷ち挶㘰攷戴挴㠷㉤散㙤㍢㌵㜰㜷ㄳ㕦搲㑡搵ㅤㅡ㜰㑥㡡挸㌸㄰ㅡ㈰慤昴ㄶ㕢㜶ㄶ捥戶昶㥢ㄲ㌴〴㘴搳愳愵愳㄰㕡㤳ㅣ挰攰㜳ㄴ㥦戶昹〶搳搷搱戴搶扡晡㤶ㄲ攳摥㤲攱㑤戸㤴ㄴ㤷换㘶㜴扢捦㠷㘹收㙢㌷㔸改换㥤搷ㅡ㈶㐴㙢戵㕡っ㘵㔴㜳搳挲〵扤愰敢㝦愵㠷扡㜲㥣摢〰ㄷ㝤㝦昵㙥㍢㕥㜸挳㥦收晦挳戱㤰攴攵㙣㐷〹捥㝡ㄶ昱㥦扣㥣㍢昱㥦扦扤扡㠲摥㤰挸扡扦㙤攳戲㐸〱攴㍢㌵挰摡愹捤㜱戹捥㔳㈸㠵愵ぢ攲㥤ㅢ㘶㌴㌵捦慦㙤㙡㥡捦攰㜷㤱㔲换扣㜸扣㤵ㄷ㑦㍡㥡㙢㐵摣㔶㑡攵攵愵㕣㈵昱㕣㘵攱㘵ㄷ摦扤㠰挰搴愶㔸㔳㑢㜱㍤摦㜵戵捤㑤㉤扥晢挰收攱愳挵户〶ㅢ摢攱攲づ捥捦愳㕣挵挵㠸晣㠱ぢ攳挵㈳ㅥ扥〵搷〴㥢㑡㤶搴户㉣㔱㐳攱〷㥥㜵て㝢攴㠶㍦㔵㡦户挶慥㤹㍢攲挹ㅤ㡥㘸㝤㔵つ㌱ㄵㄹㄷ㔸晡㐰㙤㍢㐷㐲㈹㤷㌱㜸㍡㤲㜲㈴㤴昱ㄹ慦㍦〰晦晦㤱捣摦敥㐸㈶昵㈸愶晦㝡㍥扡搳㡥㘳摡晣搴晡晦挷〱搹敥㐱攸攳㠰〷戱㔸搴ㅥ㔸㜶晣摣挷㜶敡换㜹ㄸ㘵攷ㄱ挲愳〰㝣㝡换㝥っㅦ摥㡦愳攸㝢〲搰㘱㔴扣㌱㡥换晥㝥愵㜶㐴㤱ㅦ搹捥㤳㠴愷〰〵㍢〳摡晦㘰挳搲㉤㠲㔰㍥慦㠱㜶㙥ㄸㅥ㑦㐴㜰㍢㐱㍥㡣㔴攴晦攵㘷㔵㍥㙥攳㜸㍥愸摡㌷〲㘳攷攷㠰㉦晤㘸㌷昵㑡㌷慥扦挷攰慤愹搸㈱户晣㉦㍦㠲晥㤷ㅦ㘵捥搳戰挳扥ち㐲㤸ㄴㅢ㙥ㄳ摣㤵搳㘱ㄱ㡦㈳收捣挹㈹愴㠵㘴㥣㥤〸ㄹㅦ㝦捦㠳昵户㔷愷晡㐲愲㌷摢昲㈳挷昷ち㈰て㤳挵攱㈷㡣敡㙦㍥㈸㌲㍥㐱晡㤹㡡㡣ぢ扡晤搱㡣攷搳捥ㅢ㠴㌷〹㙦ㄱ摥㈶扣〳㔰㍢愰㈹㔷挱㜸ㄴ昸㑥ㅥ挳扥㐷㤹昷〹ㅦ〰㍣慢攰㈳㜲㍣㠴昵攷愸〱昸㑦㘶晦㈷㈴㍦〵愸㕤〰挵㜸攷㌸㥦〱摡㍣㍥ㄸ㐸㠹っ〷㝤〹搶敦戴㔳愷㑡㈰攱㍡挸攱㐷戰㜶㑥愰㉤攷ㄴ㤹㡡㡣㙢搵㐱戴攵㐷慣昳〳㐰㜵㌶㡥挰㜶敡换昹〹㘵攷㘷挲㕡㠰挷ㄱ敢㜴㔱㤵攱㝦㜱挲慦ㄴ晡つ愰㐲〰敥〶㥣晦〰散㑢攵愳て捥㉥㤹㈱攵愰㌳ㅤ挰摤㤱摦㘹愷㑥㠵㈱㤱㜴〰㘷㠸㜶挰㙦晦㙤攳昸攲㔷㔳㤱㜱㌹扣ㄲ㙤㘵㜶ㄴ㘲㐰㡥㐳昰ㄳ㍡ㄲ㍡〱搴㡦㘸捡搹挱戳㈷扥㤳戳愳ぢ㘵㡡〸〱㠰挷㈹摤挸㤹搹㔱㠵㈶攲㤸捤㐸㙥づ㔰晦〰㔵㡣㌷敥扣愲搸收散愸愶㐴挶散搸ち㑤晣㑥㍢㜵㙡㌷戴敢捤戶㕣㍥㥥搹昱㐱㕢捥㜹摦㔴㘴㕣敡ㅦ〴〵攲㥣敤搱愹戳〳愱て㘱㐷挲㑥〰昵愶㜱捥㤱㤰攴㍢改㥣扥㤴改㐷攸て昰㌸㘷㈰㌹攳㥣㍤搰㐴㥣㔳㐲㜲㔷㠰ㅡ〲慡ㄸ敦ㅣ愷ㄴ挵㌶㥤㌳㤸ㄲㄹ捥㈹㐷ㄳ扦搳㑥㥤ㅡ㡡㜶扤搹㌶捤㌹㡦戵攵㥣㐷㑤㐵挶㕤㡣ㅡ㘸ㄱ攷散㡥㑥㥤㐱㠴㍤〸㠳〹㐳〰敡㝥攳㥣ぢ㈰挹㜷搲㌹挳㈸㔳㐳ㄸづ昰㌸㘷㈴㌹攳㥣攱㘸㈲捥ㄹ㑤㜲っ㐰㡤〴㔵㡣㌷敥㜹愰搸愶㜳㐶㔰㈲挳㌹攳搰挴敦戴㔳愷㐶愱㕤㙦戶㑤㜳捥戵㙤㌹攷ㅡ㔳㤱㜱㠳㘶っ戴㠸㜳愶愳㔳㘷〶㘱㈶㘱㙦挲㍥〰㜵戹㜱づ㠷昹㙦扣㤳捥搹㤷㌲戳〹晢〱㍣捥搹ㅦ㐵㕦〴攰㌹昴搸ㄳ㑤挵㐹戵㙣㄰〵愸戱愰㡡昱捥㜱㘲㈸戶改愴扤㈸㤱攱愴戹㘸攲㜷摡愹㔳攳搰慥㌷摢愶㌹㘹㜹㕢㑥㍡挳㔴㘴摣㠴㥡〰㉤攲愴〵攸搴㌹㤰搰㑣㘸㈱戴〲搴㐹挶㐹摣㤵昲㥤㜴搲㈲捡㉣㈶㉣〱㜸㥣㜴㄰㌹㌳㠳㈶愲㠹㌸攷㄰㤲㠷〲搴㘴㔰挵㜸攷㌸㠷愱搸愶㜳㈶㔱㈲挳㌹㐷愰㠹摦㘹愷㑥㑤㐱扢摥㙣㥢收㥣㈵㙤㌹㘷戱愹挸戸挱㌶つ㕡挴㌹㈷愲㔳攷㈴挲挹㠴㔳〸愷〲搴㠱㙤㍡攷㜴捡㥣㐱㔸づ昰㌸攷㉣㜲挶㌹搳搱㠱㌸攷ㅣ㤲㉢〰㙡㈶愸㘲扣㜳㥣㜳㔱㙣搳㌹㌳㈸㤱攱㥣㤵㘸攲㜷摡愹㔳㝢愳㕤㙦戶㑤㜳捥㝥㙤㌹㘷戶愹挸戸㜷㌸ぢ㕡挴㌹㤷愱㔳攷㜲挲ㄵ㠴搵㠴㉢〱㙡㠶㜱捥〵㤰攴㍢㌹㜳慥愶捣㌵㠴㙢〱ㅥ攷㕣㑦捥㌸㘷㕦㌴ㄱ攷摣㈸㈴㐰敤〷慡ㄸ㙦㕣ㄲ㐳戱㑤攷捣愶㐴㠶㜳㙥㐳ㄳ扦搳㑥㥤㥡㠳㜶扤搹㌶捤㌹挳摢㜲㑥㡤慤㐸扦㉦ㅡ㠱ㄶ㜱捥ㅡ㜴敡摣㑦㜸㠰昰㈰攱㈱㠰ㅡ㘴㥣㤳㜹搱昲ㄱ捡㍣㑡㜸っ攰㜱捥ㄳ攴㡣㜳㙡搱㠱㌸攷㈹㤲㑦〳㔴っ㔴㌱摥㌹捥㌳㈸戶改㥣㈸㈵㌲㥣昳㍣㥡昸㥤㜶敡㔴ㅣ敤㝡戳㙤㥡㜳晡㕢ㅦ愴㕦㑦改㘷㉡㌲敥昹捥㠵ㄶ㜱捥ㅢ攸搴㜹㤳昰ㄶ攱㙤挲㍢〰戵㠳㜱㑥㤶愳㘱捡扣㑦昸〰攰㜱捥㐷攴㡣㜳攸㔳㜱捥㈷㈴㍦〵愸〳㐰ㄵ攳㡤愳㘱ㄴ摢㜴㑥ㅤ㈵㌲㥣昳㈵㥡昸㥤㜶敡搴㝣戴敢捤戶㘹捥〹戴攵㥣㈲㔳㤱㜱㍦扢〱㕡挴㌹㍦愰㔳攷㐷挲㑦㠴㥦〹㙢〱捡㌱捥挹㍣摥㔹㐷㤹㕦〹扦〱㍣捥昹㥤㥣㜱㑥㈳㍡㄰攷晣㤷㈴㡦㠱搵〲㔰挵㜸攷㌸㌹戹敤㌸愷㠹ㄲㄹ捥挹㐳ㄳ扦搳㑥㥤㍡㄰敤㝡戳㙤㥡㜳搶晥搱挶㤱昲捦愶㈲攳㕥㝤ぢ戴㠸㜳㍡愱㔳愷㌳愱ぢ愱㠸挰㕣㐵昵㙦㌴攵㤱昲㤱㤰攴㍢戹捦改㐶㤹敥㠴捤〰ㅥ攷㙣㐱捥㌸愷ㄵ㑤挴㌹㍤㐸㙥〵㔰㡢㐰ㄵ攳㥤攳昴㐴戱捤㤹戳㤰ㄲㄹ捥搹〶㑤晣㑥㍢㜵㙡㌱摡㘵㜳捥㍢㙤㌹攷㙤㔳㤱㤱㠷戰ㄴ㥡挴㌹㍢㜱散㍢ㄳ晡ㄲ晡ㄱ晡〳搴慢挶㌹㐷㐳昲㐲扣㤳捥ㄹ㐸㤹㕤〸㈵〰㡦㜳㑡挹ㄹ攷ㅣ㠴㈶攲㥣㌲㤲攵〰㜵〸愸㘲扣㜳㥣㄰㡡㙤㍡攷㘰㑡㘴㌸愷ㄲ㑤晣㑥㍢㜵敡㔰戴换收㥣㠷摡㜲捥㠳愶㈲㈳挵㘲ㄹ㌴挹㐹收㄰づ晢㝥攳〸㤰愹㉦㘷ㄸ慡㥤ㅡ挲㜰㡥㉥㜹捤㘹愴㉥慡㈳搰㐰㥣㌰㡡㐲愳〱敡㈸㔰㜲㤲㌹〶㈵晢㔲户愳て昷㈴昳㐸搰㤹づㄸ〷㜹扦搳㑥㥤㘲愴㤲づ㐸㥥㘴㕥摢㤶〳慥㌱ㄵㄹ㈹ㅣ挷㐱㤳㌸㘰㍡㍡㔵㔷戵改㠰㤹愸㜶昶㈶散〳昰㌸㘰㕦㕤㔴挷㐳㤱㌸㘰㌶㠵昶〳愸ㄳ㐱㠹〳收愰㘴㕦㙡㤵搷〱㈷㠰捥㜴㐰㤴㍡㥤㜶敡搴㐹㘸㤷捤〱攷戴攵㠰戳㑤㐵㐶慡挸㈹搰㈴换愳㥥攳㙥㈰㌴ㄲ㥡〸ぢ〰敡㌴攳㤴捣㈳摤㘶捡戴㄰㕡〱ㅥ愷㉣㈲㘷㤶挷愹攸㐰ㅣ戳㠴攴㔲㠰㍡ㅤ㔴㌱摥㐸ぢ㐲戱捤攵㜱ㅡ㈵㌲㤶挷愱㘸攲㜷摡愹㔳㘷愰㕤搲㌹昷㔱换ㅡ㠰㍡愴㉤攷ㅣ㙣㉡㌲搲㘰捥㐴㌳㜱捥戱ㅣ晢㜱㠴攳〹㈷㄰㑥〴愸㠵挶㌹㤹㤷㈰㑥愶捣㈹㠴㔳〱ㅥ攷㥣㑥捥㌸攷㉣㜴㈰捥㔹㑥昲㑣㠰㘲㜶㑤㌱摥㐸扢㐱戱㑤攷㥣㑤㠹っ攷慣㐰ㄳ扦搳㑥㥤㕡㠱㜶搹㥣㔳摢㤶㜳㈲愶㈲㈳挵攷㍣㘸ㄲ攷慣攲搸㉦㈶㕣㐲戸㤴㜰ㄹ㐰捤㌲捥愹㠵攴ㄸ扣㤳㍢搶㉢㈸戳㥡㜰㈵挰攳㥣慢挹ㄹ攷㥣㡦㈶攲㥣㙢㐹㕥〷㔰ㄷ㠰㉡挶ㅢ㜷慥㔱㙣搳㌹㉢㈹㤱攱㥣㥢搰挴敦戴㔳愷㉥㐴扢㙣捥ㄹ摤㤶㜳㐶㤹㡡㡣昴愵㡢愰㐹㥣㜳㌷挷㝥て攱㕥挲㝤㠴㌵〰㌵搴㌸㈷昳㘰敥〱捡㍣㐸㜸〸攰㜱づ晤㘷㥤戳ちㅤ㠸㜳ㅥ㈳昹㌸㐰㕤〲慡ㄸ敦ㅣ攷〹ㄴ摢㜴捥挵㤴挸㜰捥搳㘸攲㜷摡愹㔳㤷愲㕤㌶攷㤴戴攵㥣㕤㑣㐵㝡㙡㔶〱ㄳㅤ搲㙦㌲㑢㙥戹㥢戴攲戹㡤搴〵挲扥挴戴挶扡搶㤶㡥㠹愱ぢ㕢㥢㐶搶戵攲摡㝥愷〴〰㥢搲愴愷攴㜷㜸ㅡつ㐸㑣慦㡢㉦收㔵晤敤㌲慢㤰㜶㕦戳戰愵戵㐹敥㥦㙦㥢㔹㍦扣㘹㝣㔳敢昰扡㤶〵昵㤱愵㝤戲㔴敢㥡ㄹ昳攲㡤㐸㌸㙡㐶摥搱晡㠴㥡ㄶ㉣㠸挷戲㡣㜱㑡搳挲收㘸㝣捣昰扦㐳捡㤲搲㠹〰㌹戸搷慣㔴㡥摡戱敤晢㝣㕥扦㈳㌶戹戸㍦慤晥㘲挶ぢ㘷㘱㡥昳㉡愶㕥づ晡挴㔴㜷㕥攳㌴㐴㥡挹㙡㔰敤㑦ㄱ㑦ㄲ㔴㐷〸晢ㄳ〸慢收㍡㥢㉣扢㌱㡤㉤㜵戱戸摦㤴㤰㤸摥挵㙣㑥㔸搸㥡㔲ㄳ㔹搲摤搴っ慤慦㥦搰㠸搰㐷㈳捤戱扦㐳㔴㘰ㄸ㕥㍡㈴捡㠷㝦㝦捤搱㕡㑤㑥捥㜷㍣慦攱敢扢挳戱搸㕦㌷扥扥ㄲ㐴搶㥣〶㜷㌹㘲挳㤳㐳㔶〴昹捥㜴户㑢ㄷ戲㌴㉥ㅥ㘹㤴㈸㑣㘹㡤つ㡦㉦敡㈲ㄲ㜱㑣㜰㝣摢愵㍥摥㍤戵㈸㜷ㄳ㥤挴搰摡㤶愶晡㠵慤昱㉥敥㤶㉣㜴㈷㌱㌹㕥ㅦ㘱㍥㘰㈷㜷㙢㘲戴ㄵㄹ㤳慥㍥收晡晤㝤㈲〴㡦攴㥢㈸㈹㠹㤳慦㥤挹㥢㙡〴㡦ㅣ晥㘲㔴ㄱ捣㠴扣晥㌵㔸㥤㝦ㅥ㕦㔷つ捥戱ㅢ㝥扥㜲ち慥㠲晡昴摢㠵愹晢㕡㙦挲ㅦ㔷㔲㜷㥢㠷慡昷㜰戲昳敡㘴㌹收摡㜵㑥挸㝥て〹戵晣挲㑣ㄱ㤷㑥㍤扥㠵搶㕡ㄷ㡤搴搷㉦敤㤲ㄸ搳ㄸ慤㕦ㄸ㡢㡦㡤搴挶敢敤㍥扢愹戹攱㙦ㄲ慦㝣㉥〱ㅤ慢㜶晣㘲㥣㌲〶㕦〷戴改㠵㝦㜹㌷㠷晢㥢㔸㘹昲㤱ぢㅤ㝥攷㉤戳敥慥挶㐰㌶㍡扢搲㡦㐶摤㤲戹挱昲晤㌱散摡㌲㈸敥搳㤸㘳收㈶㘸捡㡡昳㠸㡤㙤ㅡ摢㠴攴搹㤸㠷ㅡ㕤愷愹扦捤扡㤲㌰昹㝣扥扦晡〱〳㕦攱昵摤㥦收晦挳捤晦㠳昹ㄹ挳挵挱㐴挸昴散㌴捦攲㤰捦㝥搹〹㌲㝦愹㠸㝢㌰㝤攰㌰戵慥戵㍥摥㌱㈱昵戲㕤挸㈵㐱㙦㜶㐸㑣㥤㠷㑣慦攱㥤ㄳ愳㥡敢㘲昵㜵㡤㜱ㅥ㠴㈰㤹㥢摦搹ㅢㅢ㥦㡢戴攳㠹㑤㉤㜵晣戶㔹攷挴搴收㐸㘳换〲㈶昴㐵㤷㜶㑢㈹㐹戰ちㄲ挳敡ㅡ戱㠰㜴㥦摣㉥㑡㑣㤹搷戴ㄸ㕦㕦㕤搸搰㌸㉡戲愰攵㙦ㄱ㈸昳㤱〲て改㔵㤵慢㜲㜳㔵㘱㙥攱㕦晤慣昲扤捤搵㌲昴攱㌳㈶ㄴ㤷㤵㤶〵㐵㉤敦㘱攷ㄲ㤴づ摣㜵搸㙣㘷昵㌲㘶㈶〵㥣慢㤷㈳㑣昹ㅡ㕦搶捣㔳昷㥢挰摣㈳㍢敦㘰㄰㥤摥〵散㌹㙡摡㤸攴ㄷ〷晥慦扥㘵㕢㜰㍤㌴户昳挱㈰㤳挴捤㔲摥ㅣ挲㕤昴挴㈱挷㜹攴㐸晣㔹㑡㥦㡣晥㠴挸㜰㕥攲戳㤴攲摣ㅣ㠹捣搱㑥搸つ㘰㐷㡣㡣㕢散㠱扢攸〲て敥ㅡ㈲昵㉤愶慥愶愹愱㈱挲㠹挶㐹㍡〵㝢昱㜸愱ㅣ㘹㘳扦攲㈴〰㌲ㅢつㄵ㔹〲㉡戲㐴㈸㝣㌸昳㥢〷戲㑤㕤㑤㜳㈳捤㜵慤昳ㅡ敡愲㠵㉣昰摢〱㝦㡢ㄹ㡡㘹㤳て㘷摡㤷㑣㔳ㅣ戶愶攷て改㠴㔴㠴扢〴㘷ㄲ㜴ㅤ挳㡦㜹㥣㉢㥦攸敡㉦愶㜵攳戸㔶㜶晤捥晢搰㔶㠰㜷づ㍥〴昴㔰㍣㠷㘳㘰晣捥〷愸挵㙥㐹摤㐸㈱扣㥤て㐱㜰㠳敦晣㥢〱敤收搹㜶㠰㠰㝦㙣㔳㈴㌶ㄲ㕦㈲㘹㙡敥㘰扥ㄹ㕥㠸昰㜲㈷搳ㅣ㘰㙥㜵つ扥㥥㠰慦㍤㉣挲㤱㜱㜳㈱㠹㈹挸㕡捥㘷㔶戶㑦挷㤱敢㉤愷愰愰㘳㘱戶扥挶㔸㕤㝤㑣づ慡昷慢昴㘳㌲昴㝦㌳愹㙡㌰挷敥昷攷〱㥤㡦㘰㡥昳㌱㙤扡〵㐵摡㤳㈶昰〹〵㍥〵ㄴ摣㠶捡昴㤵搲㘶ㅥ㌲㤵ㄷ㌴㌰㍦扡戰㠱收攰〰挴㠷慣㘹攴㔹挳㈵扥㡥㠵户愲摥昹っ㙡㥦㝤收㤹㐱搸捥㔱㜷〲㙣晦攲㌶㍦搱昹㥣晤㝦挱晥ㅦ㐴㜱㈳㜲ㅤ㜹摣攴戸攷㥣㜲攸㥢㍣挵散㥣昰㥥㔱㜶㑦㤸㔳㑢捦〹㘴ㅡ㈷㠷㕣㔸敢㝦愳搳㐳搸〷户搹㤵昳㤷㍦㡦㌹昵㝤㕦挲挱㐵㑣㔷昶㝣㙦㔸㜶敢敡㘱㜴挲捦攴ㅣ摦㔷㤰改〱㐷戵㌶搷搵㉥搴㔹换挹敦搷戹ㅦ〹昹挹㡦〴昵〸㥡昱㘳挱昹ㅡ㑤搵愳搸攲摥ㄶ㡢㑤慦扥㙦ㄹ㔵扣摢㕥㝤晦㐲㉤㔷摦攳ㄴ挲摢昹㌷ㄵ㤹㠲㝡ㄲㅢ㜶挶ㄴ㘰摢慦㘷捣㜷㤰㜱扥愷攰㔳搹〵㝥愰挰㡦㠰㠲愷㈱㤰扥换㐹㑤㐶挴㤹戵〳愱㝣昹挹〰愶昴ㄷ㈲㍢㕥扥ぢ㔰㈰㙢戳愳㈷㠷摦愷搳昷ぢ搱〶㕢つ㉤扥㈹搸㜹挷㘳㝥㍤敤戸ㄶ戸㤷挹捤捤挷ㅥ捣㤷㥥愶㥤搱㉤㔵㑣㠹㑢挲愴敡㠵㈱昸㝥挲㠸晤扣摡〲晤㜳挶㠷㌳慥ㄷ攱㔴㝤㉤㐴㜲晣敡㜹愰㜵㑣㈷㌲摡㌱扦搰敥㜵〰昵〶㐸㕥昱ㄱㅤ戸〷挷㘶收㙣晦㍦搸愶换摦〴戵ㅡ㙦晢昲散ㄸ戱㕢晣摤㐸扤㠵㙡㥥慢㌲㈸敢㍢敦㔱㙦㐳㡥攷㍥㌹捥ㅦ㘸㉥㝤换挱昷㥦㐶搹㍢愸攲〱戸㝥戵㜹㠸愸摥㠳㠰㥥㤲晣㍡愲㍤㉣㈹挷挴挳㘲攰昴昳ㅣ㤶愸昷㔱㤶㌹愸㈰慢㍥㐰㐹捦挱つ晥〴挸㐷㍢㍡攴㈳㌴㤵㌹挸摦愶㜰攷攰㈷㘰慤慢㐹㥡摤慡㡦〳敢㐰挱㑦戳ぢㄴ㔲㠰㍦㔵愲㍥㠳〰㜷慤づ㜷挸敥摥昰㑢㑦㌳捦摥戰㈳㥢㜵㘲戳ㅦ㈰昰㈰摥戲㜸㝣㥤㐱㘵㕦扦㍦㐱㐴㍢慢ぢ㘴㌶㙥晤晥㡣戶攲扢㈲昶挸㕣挶㤴昵摢ㄵ㙣晢敢户ㅢ㈴攸扢㜵ㅣ㈷摥㑥㜷㉡㌲〵昵㉢㌶慣敦㌰〵慣敦㌶㠳㡣戳㌹〵㝦换㉥戰〵〵戶愴挰㝦㈰挰㌵散敢㠱㔲㜲㙤㔴㘷㕢ㅢ㍤㈱㠲戵挱ㄳて摢㈹㔷戶㔹ㅢ扤愸㜳㙢敡㉣挴昸㍣㙢㘳㕢㌶㌳㙢㘳㍢㙣搳ㅣ㈶㍥戶扤㌶㡡㡤㤴ㅦ㔲ㅢ扣㌶㤸㐱愹搷㐶㙦㌴㑦慥㡤ㅤ㡣戲㑥愸摦㤰戵挱㉣㑢ㅤ敥㍥搴㘳づ搹㠳㔵㔹搷〶戳㌱㈵扥㍢㐲㔶〵㔰摡挸戵搱搷㡣慥ㅢ㥡攲て㜷㜰愹㐸ㅣ㠶晦㌷挳㤶㜵㌵㐹戳㌶晡㜳㘰〳㈸挸晣捥㉣〲〳㈹戰ぢ〵戶㠰㠰慣㡤ㄲ㤴摣戵挱愴㑥摢捣戳㌶㜶㘵戳㔲㌶摢ㅥ〲㥥㄰㤶㠱戳㈱㉣挷㌶㐳戸〳㐴摡づ㘱挸㐸昵㠱搴〶㠷㜰㐷〸敢㄰㠶搱㍣ㄹ挲㑡愳㙣㈷搴㙦㐸〸晢㐲㑥㠷戰㡡㝡㑣〸换㜱慦㉦换敥㡤㌹愳ㄲ挲㙡挸慡晥㈸㙤㘴〸㜷㌷愳ㅢ㠸愶昸㐳㙥㈶ㄵ搹㄰㌲搳搴扡㥡愴〹攱ㅥㅣ搸㘰ち㌲ぢ㌵㡢挰㄰ちっ愵㐰㈹〴㈴㠴挳㔰㜲㐳挸搴㔳摢捣ㄳ挲ㅡ㌶ㅢ捥㘶扢㐳挰ㄳ挲㤱攰㙣〸㐷㘱㥢㈱㘴ㄲ㘹摢㈱ㅣ㙤愴昶㠰搴〶㠷㤰㐷挶㍡㠴㘳搰㍣ㄹ挲扤㡣戲㈱愸摦㤰㄰づ㠳㥣づ攱㔸敡戱㈷捥搵㔹㐳挸捣㔶〹攱㌸挸慡攱㈸㙤㘴〸㈷㥡搱㡤㐴㔳晣攵㌸㤳愸挸㠶㜰㌴戶慣慢㐹㥡㄰㑥收挰愶㔰㤰戹戲㔹〴愶㔲㘰ㅡ〵昶㠴㠰㠴㜰㍡㑡㙥〸㤹㈰㙢㥢㜹㐲㌸㠳捤㘶戲搹㜴〸㜸㐲戸て㌸ㅢ挲㔹搸㘶〸㤹敡摡㜶〸昷㌵㔲㌳㈱戵挱㈱㘴捥慣づ攱㙣㌴㑦㠶㜰㡥㔱挶㜴摡つ〹攱扥㤰搳㈱摣㥦㝡散㡥戴㈲㙢〸㤹㝦㉢㈱㡣㐰㔶敤㠷搲㐶㠶㌰㘶㐶户㍦㥡攲て㍦㐶㐲㐵㌶㠴戵搸戲慥㈶㘹㐲㤸攰挰收㔲㤰㤹扣㔹〴收㔱愰㡥〲㌱〸㐸〸て㐰挹つ㈱搳㜷㙤㌳㕥㑥昳晢扢戲敦昹㙣㔶捦㘶ぢ㈰攰〹㘱㈳㌸ㅢ挲㈶㙣㌳㠴㑣挴㙤㍢㠴ぢ㡣㔴㌳愴㌶㌸㠴捣攸搵㈱㍣㄰捤㤳㈱㙣㌱捡㜸昱㘸㐳㐲戸〸㜲㍡㠴晣㈵㌹㌷㠴搹㔷㈱戳㠳㈵㠴ぢ㈱㡢㉦㙦㙦㜴〸㤷㤸搱㌱愵ㄸ㝦挸慢愰㈲㜱ㄸ晥㍦〴㕢搶搵㈴㑤〸て攲挰づ愶㈰昳㡤戳〸ㅣ㐲㠱㐳㈹㜰ㄸ〴㈴㠴㠷愱攴㠶昰〸㑦㌳捦㉡㍣㥣捤㤶戱搹㠹㄰昰㠴昰㐸㜰㌶㠴㐷㘱㥢㈱㘴扡㜰摢㈱㍣摡㐸㥤っ愹つづ㈱昳㡥㜵〸㡦㐱昳㘴〸㡦㌳捡㤸㤲扣㈱㈱㍣ㅤ㜲㍡㠴挷㔳㡦晤㉣捣㝡〵㔲㌱㠷㔹㐲㜸〲㘴搵㜲㤴㌶㜲ㄵ㥥㙣㐶㜷ㄶ㥡攲て戹㈲㔴㘴㐳㜸づ戶戲㐴攸㔴づ散㌴ち㌲㉢㍡㡢挰改ㄴ㌸㠳〲攷㐲㐰㐲戸ㅣ㈵㌷㠴㑣㠵戶捤㍣㈱㍣㤳捤捥㘲戳换㈰攰〹攱㌹攰㙣〸㔷㘰㥢㈱扣ㅣ㈲㙤㠷昰㕣㈳㜵〵愴㌶㌸㠴捣㡥搶㈱㍣て捤㤳㈱㕣㘹㤴㕤㠹晡つ〹攱搵㤰搳㈱扣㠰㝡散㘷㘱㜹搶ㅤ㈹㌳慤㈵㠴ㄷ㐲㔶㕤㡢搲㐶㠶㜰㤵ㄹㅤ搳戳昱㠷㈴ㄸ㉡戲㈱扣ㄱ㕢搶搵㈴捤㉡扣㠴〳扢㤴㠲㌷㘵ㄷ戸㡣〲㤷㔳攰㘶〸㐸〸慦㐰挹つ㈱ㄳ戶慤㕥㑦〸㔷戳搹㤵㙣戶〶〲㥥㄰㕥つ捥㠶昰ㅡ㙣㌳㠴昷㐳愴敤㄰㕥㙢愴ㅥ㠰搴〶㠷昰㐱〸敢㄰㕥㠷收挹㄰摥㘰㤴㍤㠴晡つ〹攱㈳㤰搳㈱扣㤱㝡㙣〸㉢戳㠶昰㔱〸㑢〸㙦㠲慣㝡っ愵㡤っ攱慤㘶㜴㑦愰㈹晥昰慢〱㔴㘴㐳昸ㄴ戶慣慢㐹㥡㄰摥捥㠱摤㐱㐱㘶㤸㘷ㄱ戸㤳〲㜷㔱攰ㄹ〸㐸〸敦㐶挹つ㈱搳捡㙤㌳㑦〸敦㘱戳㝢搹散つ〸㜸㐲戸〶㥣つ攱晤搸㘶〸㤹㈰摥㜶〸ㅦ㌰㔲捣㈰摦攰㄰㌲搳㕣㠷昰㐱㌴㑦㠶昰㘱愳散ㅤ搴㙦㐸〸摦㠳㥣づ攱㈳搴㘳㐳㤸晤㜰收㝤〸㑢〸ㅦ㠵慣晡〰愵㡤っ攱ㄳ㘶㜴ㅦ愱㈹晥昰㔵㘷㉡戲㈱晣〴㕢搶搵㈴㑤〸㥦攲挰㥥愶攰愷搹〵㥥愱挰戳ㄴ昸っ〲ㄲ挲攷㔰㜲㐳挸攴㜷慢搷ㄳ挲攷搹散〵㌶晢〱〲㥥㄰扥〴捥㠶昰㘵㙣㌳㠴㑣㘳㙦㍢㠴慦ㄸ愹㥦㈰戵挱㈱㘴㍥扣づ攱慢㘸㥥っ攱敢㐶搹㕡搴㙦㐸〸搷㐱㑥㠷昰つ敡戱㈱㉣换扡ち㤹㕢㉦㈱㝣ㄳ戲㡡㐹昶ㅢㄹ挲㜷捣攸㝥㐷㔳晣攵㌸敦㔲㤱つ攱㝦戱㘵㕤㑤搲㠴昰㍤づ散㝤ち晥㤹㕤攰〳ち㝣㈸㥡㜰挵㐷㐲昸ㄱ㑡㙥〸昳挰㕡扤㥥㄰㝥捣㘶㥦戰㔹㈷〸㜸㐲昸ㄹ㌸ㅢ挲捦戱捤㄰㜶㠶㐸摢㈱晣挲㐸㜵㠱搴〶㠷㤰㔹晢㍡㠴㕦愲㜹㌲㠴㕦ㅢ㘵〱搴㙦㐸〸扢㐱㑥㠷昰ㅢ敡戱㈱捣㝥㜵愶㍢㠴㈵㠴摦㐲㔶㙤㠶搲㐶㠶昰㍢㌳扡㉤搰㤴㐱㜲扥愷㈲ㅢ挲ㅥ㘰慤慢㍤㈱晣㠱〳晢㤱㠲晣㑥㐱ㄶ㠱㥦㈸昰㌳〵㝡㐲㐰㐲戸ㄶ㈵㌷㠴摢㜸㥡㜹㐲昸ぢ㥢慤㘳戳㥤㈰攰〹攱㙦攰㙣〸晦㠳㙤㠶㜰㘷㠸戴ㅤ挲摦㡤㔴㕦㐸㙤㜰〸昹摤〲ㅤ挲㍦搰㍣ㄹ挲㍦㡤㌲㝥敤㘰㐳㐲㌸㄰㜲㍡㠴捣捥戳㈱㉣㉦捤扡ち㜷㠱戰㠴㤰㌷㍢㔵〹㑡ㅢㄹ㐲晣昲戰㌸愴ㄴ㑤㈵㠴晣つ㕤㌷㠴㘵㘰戳㐴挸挷㠱㜵愰㘰㜹㜶㠱㐲ち昰㈷戲㔵〸〲ㄲ㐲㍦㑡㙥〸昹㜵〷慢搷ㄳ挲㡥㙣搶㠹捤昸搵㠴〷ㄱ㌶㜳昱ㄹ㔴昶㡢捦晣㡥㠲㜶㔶ㄷ挸㙣摣挵攷ㅡ戴ㄵ摦ㄵ戱挷攱㈸㘹摦㤹㥢㐷㕤挱慥攷攲㌳㈴㌸㤹㐶愲愹昸慥㍢ㄵ搹改㍦ち慣戵搱㜳昳㘸㌳挸㌸㥢㔳㜰㜴㜶㠱㉤㈸戰㈵〵昸ㅤち㝤昱ㄹ愵攴挵攷ち㤹㕢昸㘲て慦㌴换ぢ㌷㘶㝡㐲〴ㄷ㥦挷㜹㜴昲晥愴扤昸㑣㥤㕢㔳攷㜴〸㈴ㅤ扢つ愸散㡥㥤〹㌹敤搸㙤㈱戳㜱㡥攵㔷㈶挴戱摢戱挷㝤㔰㑡㜱㙣㙦戰敤㍢㜶㝢㐸搰戱晣㥥㠵㌸㜶〷㉡㠲㌹昲㥥つ㌶㡢㘳晢㐰挶搹㤱㠲晣㈲㐶ㄶ㠱㥤㈸戰㌳〵昸摤っ㜱㙣㕦㤴㤲㡥慤捡收搸晥㄰㠱㘳愳ㅥ㥤㑥搲戱〳愸㜳㈰㜵搶㐳挰戳搳㈹㘱㌳㜳㔵㝦㔷㙣搳㥣〶㠸戴扤搳㈹㌵㔲㡤㤰摡攰㥤づ扦戱愱㜷㍡㐱㌴㑦敥㜴捡㡤戲〵愸摦㤰㥤㑥㌳攴㜴戸㐳搴㘳㍦㌷挲㔹㜷㍡㉤㄰㤶昸㠶㈱慢㕡㔱摡挸㥤㑥㤵ㄹ摤㈲㌴㤵昸㔶㔳㤱㡤敦ㄲ戰㌶㝣㈴捤㐷晦㍦㌸戰摤㈸挸敦㤳㘴ㄱ搸㥤〲㠳㈸㜰㄰〴㘴愷戳〷㑡敥㑥攷㔰㑦㌳捦㑥㘷㌰㥢つ㘱戳㘳㈱攰〹攱㌰㜰㌶㠴㌵搸㘶〸㡦㠳㐸摢㈱ㅣ㙥愴㡥㠷搴〶㠷㤰摦㉢搱㈱ㅣ㠱收挹㄰㡥㌲捡昸㤵㤳つ〹攱挹㤰搳㈱ㅣ㑤㍤㌶㠴搹慦敡㥦〲㘱〹攱ㄸ挸慡㔳㔱摡挸㄰㡥㌵愳㍢ㅤ㑤㈵㠴攳愸挸㠶㜰㌹搸㉣ㄱㅡ捦㠱㑤愰攰㤹搹〵㈶㔲㘰ㄲ〵捥㠲㠰㠴㜰㌲㑡㙥〸昹㔵ㄷ慢搷ㄳ挲㈹㙣㌶㤵捤昸戵ㄴ㑦〸愷㠳戳㈱㥣㠱㙤㠶㤰㕦㕡㘹㍢㠴㌳㡤ㄴ扦搵戲挱㈱扣ㄴ挲㍡㠴㝢愳㜹㌲㠴戳㡣戲换㔰扦㈱㈱扣〲㜲㍡㠴晢㔲㡦〹㘱㌰晢㘹昰㙡〸㑢〸㘷㐳㔶㕤㠹搲㐶㠶㜰㝦㌳㍡㝥晤㐶㐲ㄸ愱㈲ㅢ挲㙢挱㕡㔷㤳㌴慢戰㤶〳㡢㔲昰扡散〲㌱ち挴㈹㜰㍤〴㈴㠴〹㤴摣㄰昲ぢ㌹㔶慦㈷㠴㜳搹㙣ㅥ㥢摤つ〱㑦〸て〰㘷㐳㌸ㅦ摢っ㈱扦㕡搳㜶〸敢㡤ㄴ扦㝢戳挱㈱扣て挲㍡㠴つ㘸㥥っ㘱㤳㔱挶慦敦㙣㐸〸昹㍤ㅥㅤ挲〵搴㘳㔷㘱昶愳㌷㝥摦㐷㐲㜸㈰㘴ㄵ扦昸戳㤱㈱㙣㌵愳㝢〴㑤㈵㠴ぢ愹挸㠶昰㌱戰搶搵㥥㄰㉥攲挰ㄶ㔳昰昱散〲㑢㈸戰㤴〲㑦㐰㐰㐲㜸㄰㑡㙥〸昹戵㈱慢搷ㄳ挲㠳搹散㄰㐰〱扦摣戱㘱㕦㈶㘱昳㠰攷ㅢ㍥昲㥢㕣㕤ㄳ㤳ㄶ㐶敡昱戴㡣〹㐸㌳㙦㈵昵㜷挸㈸捣搷挹晥敢㑤慢ㄱㄳ㘶捤㘶㐶㑤扡て㔲㔳㜰㡣㙤昲ㄳ㘴㝦敤换〰晥㠲愳晥昳攷㥦ㅢ搶ぢ㈷㐰敡㡦㠲攱扣〴㠹㌶㠷㈱㘰㕣㔳慦㈱㘶㌲㠵づ〷攱㐳㔵㈱摥㡡㕦ㄷㄱ㜶ㄹ㔸晢㉡㜸〳㙣㍢㤹戸㘹㜹昴㙣摦㍤㤹㌳挸っ搱〱昵挸昲摡㠰㠴摣㈳搰慢㝡㉢摢ㄸㄴ㜳㜵㘵㘴㐷㔱〶㕤昰㕤挰㝣换昴㝣慢㡣ㄴ㑦㥡㠲㙦〸㈱搹㜳㑡敢搲㝡㈴搸㜲㤳昹㔷㝡㡢搹㠴扡ㅡ㠳㙥㙡捥挷户愴搲㝦搲搰㙤㝢㌹㔴㜵摣㉣敤㠷㡦愵ㄹ㙢摥挵㘸ちづ㐱㠸摡㙣捦㐱㈷愳挲㌶㝣昹㡥挱㄰㌷ㅢ㔷ㄷ挵㑦㝡㌶㈵㕡㡢愷㈰㘵扣㤸㍦㠵㥤挰㤷〷㠶ㄶㅣ〴㡤㔹晢愴㘱昹㡤㝣戰捣㈲晥晡㥢㝦㝥㘳搳攲㐶ㄹ㑤㐱ぢ㝦ㄱ㕣晣搵愱〳扢昱戳ㅦ扥㜶㠰攳ㄴ㤳㔰愵昲㌸愸攰㥡㤴㜵挹㑣㔴慡㜴㡥〷㜶捥ぢ㌰㤵㤳㔲扥ㄳ㔰摥戱㘶㔸捤攴㌹搵戵㤵戵ㄵ㘵攵㘵戵昱昲㜰愸戴戲戴㌶ㅣ㑤㔴㐷㈲搱㜸㜹㔹㈸ㅥて㔶〵㍥戶㥡㑦㐴㥢〰㜳㍤愵㥦㤳㔸晡搴㤶㔸㔷昴ㄹ㑡ㅣㄵ攷摥晦昴ㄵ昸ㅣ㥡㌹搹㝤愷愰㥦㉥㌵挳收㜸㔲挵㝤愷㠲敢〴㑥㤲敤㈶攳㤷戹㝤愷㠱改ち㈶昵挹㍤㠱㉦㡣㤶攴昳㙤㥣攵㤰㔴㤲㝡〸敤捥㤹㉣㘱㠳㕤愹㙦㈱捤挹愸敡ㄱ㉣㑥〱㤰昸㍤㝤㠸戴ㄹ㔷㜵〰挴ㄸ摢搴搸晣㡢㕡搰搸㔹㠱挶㙥㙣㤸愷㠸㌲㝥ㅡ〷㠸搸㝣㘷捡扥昳㔰搶戱㈹㡤㔵挶㉢换㠳㔵㤱㔰〲㑦㌸〹㠷慡捡捡愲㤱㐸㍣ㅥ愹㑥㤴㠷捡ㄳ㐱摦昹慥㘸㔵㈴㕥ㄹ㈹㉦㉦㡢㐶换愲愱㜰愴㉡㔲㕤ㄶ慡㡤㈵㐲㘵㔵㤱㜰㌸㔴㥤昰慤㜴㐵挳㤵戵昱㔸㘹㌰㕡㕥ㅤ㡤㠵愲㠹㘸愴扡㌴ㄴ㉢㡢㈷㑡㉢㉢㑡换㐳愵〹摦〵慥㘸㜹㐵㙤㘹愴㉣ㄶ慢㡥㐶㈳愱㡡搲㜰愴戲㌶㠶挷㉦㠴㙢㑢愳攱搲㔰愴㌴挰ㅣ㑡㐸攳戹〰㐰攷㥦㠴㡢〸慢〰㠱ㅦ㙣攵挵愴㉥㈱㕣㑡戸㡣㤵㍦摡㑡㔷㍥愹愳㘰㉤㉡搷扢㥢㌶搹㡦㔰㤶愳㙡㜱㝦㍢愶攲昹ㅤ㍡㘴㝣〷㌲㜵㤷㡤挴㐸搹扤㑢扡愴㡦㔸㌰〳〱㙢㝦て㙣ㅢ㌱㠸挹戵捥挶ㄸ㈷㝥敤㥢㐶㕤〳昰〷㤸㍦挹〱昹慥〵愶㑦搴敢挰愵㑥搴敢挱㘴㑥㔴摦つ愰扢㘱晥攲㐷ㅡ扤扦㌶ㅣ㔸㘷㝤搶㠷摤敥㐸戸ㄹ愲收愷晡㔰挹㡦㙤扦ㅡぢ㠳昸戱愲㍦ㅥ㙥㠳〴㍦ㅥ㤸戵㈹戳昰㜶㄰敥挷〳戳㌴㠵㕤〶搶扥搴ㅦ㘰昹ㄱ攱摣〹㔶㌱昹㌲㔳㐶㐱扤戰㜷㔳〶㑤攵㥤㙦搹㝢挰扡㜳扤〰㉣昵㍢昷〲㌱搷㝤㐶捡㜷ㅦ捡㝡慥㔷〵挳昱㔰戸㌲ㄲ㉥㉢㉤つ㐵愳㠹㐸㔹㙤㐵㐵㌸㕥㕥ㄵ㡣㤶㈵攲㔵戱㐰〷慢㜹つ摡〴ち㙤㐹昶㐳㡥㉤戱慥挸㡦搲愶搹て㜵㠴㘶晣攱慥㉦晡㜱戸攳㜱戸慦〹㜴戲㝣㝦㔶づ㈰㍣〶㕥ㄵ㠱ㄷㅦ㍤捥ㄲ㘸㌶㔶㕤㠱戲㘷愹㐲㤰摣㍤换㤳㄰㘹㝢捦㔲〱搱捣㍤㑢㌷慢晦㘹㌴㜶扤摤ㅤ㉣捡昸改㈴㈰扣扤ㄹ捡〸㘱㡥敦㔹㤴戵户挳ㄱ散㈲愲㜸捥㑡㜹㈲ㄶち㤶㠶攰敢㔰戰戶㍡㔲㠵挷㘶㤴㤵㔶㤷晡㥥㜳㐵㠳㔵攵㤵㔵戱㘰愴㌴㔶ㄶぢ㔵㠶攳㤱㘰㙤㔹㍣㕣㔹ㄹ慢㑥攰戹㑢挱㐸㘰㜳愳摥㜹ㅥ㙤㥣ㄷ〰㠱㉤㉣昵㈲愹㤷㐸㙤㘹㈹ち㠸愸敡〹㡡㉢㕤つ㠰㜱㕣㠵ㅣ愴昳ㅡ敢㕦〷昸〳扤㈰㠰㡤㜴㜷晢摥〶㤹㙤㝤㙣㙤攵㜱昳㕦㍦捡挹㜹㡦摡搶愰愸戶㐵愵㕥ㅦ挵攸㉡戹㍥㍥㘴㔷㔸ㅦ摢愱㕥㘲昵ㄱ〸㜷㝤ㄴ㕢㌶㘵㝤昴〶㉢敢攳ㄳ挸慡ㅤ戲捡散㘸搹捦㈸挳ㄱ昰摤搷戲㥦㠳㜵㈳搶て㉣捡昸ㄶ〳㄰ㄱ敢㙦愴㝣㕦愲慣㈳ㄶ㡤㠶㑡㑢愳搸ㅤ㠷㉢攳愱㈸㍥ぢ㠲挱㡡摡捡㘸㘵愲慡戴ㄴ㕦㥢慡つっ戰㥡扦㐲㥢挰㐰㕢㤲昵戱㡢㉤戱慥㠸㤹㤲㥢㘶㝤散ち捤昸㑢て㔸愰搴昲㌸ㄱ搶捦挸㜲㝥挰㐸㔴ㄹ㜸ㅤ㤳捥㈹㌱昹〹㤵㡣㐹㌹敡㈵㈶㍦㠳㜰㘳ㄲ戲㙣㑡㑣挲㘰㈵㈶扦㔰㜳㘵㔶㤹㙡换晥㑡ㄹ挶㠳敦摤㉤晢ㅢ㔸㌷㈶㠳挰愲㡣㕦㕢〵㈲㈶㝢ㄸ㈹摦敦㈸敢㤸㤴㐷㑡㈳㔵㔸ㄶ攵愵戱摡㄰㍥㈶㈳ㄵ愵㔸㍢戵㤵㠹㔰㈲㔱ㄵ㡢㠵〲㠳慤收㍦搰㈶㌰挴㤶㈴㈶㐳㙤㠹㜵㐵㑣㝤摣㌴㌱愹㠱㘶晣㘵挴㘴戸攵昹摤ㅡ㜹散㤸㔳㔰〰㙦㡣〴慦㘳昲摢㙦摥㜵搲〱㤵㡣挹㈸搴㑢㑣ち㐱戸㌱ㄹ㙤搹㤴㤸㡣〱㉢㌱昱㔳昳㕥㔹㘵挶㔹戶ㄳ㘵ㄸて扥㈷㕡戶㌳㔸㌷㈶㤳挰挲㕢昸愱㉣戰㠸挹㘴㈳攵㉢㐲㔹挷〴㠷慥㠹敡㔲㍣㈱㉡ㄱ㉤つ㤵挶㙢慢ㄳ愵戱昲㔸戸戶愲㌶㕡㡡捦㤲㔸㘰㡡搵ㅣ㐰㥢挰㔴㕢㤲㤸㑣戳㈵搶ㄵ㑤㐷㘹搳挴㘴〶㌴攳㉦㈳㈶㌳㉤㕦挳捡攱㠴ㅥㄸ㠹摡〷扣㡥挹攷㈹㌱改㠹㑡挶㘴ㄶ敡㈵㈶扤㐰戸㌱搹搷戲㈹㌱㤹つ㔶㘲戲つ㌵捦挹㉡ㄳ戱散㜶㤴挱㌰㜸㈷㐲挵㉣㕢っ搶㡤㐹ㅣ慣挴愴㌷㔸挴㈴㘱愴㝣摢愳慣㘳ㄲ㡣㤴㤵㐶㙡㈳㘵㤵戱㔰㈴ㄴつ攱㈳㈴ㄶ〹㤶㐶愲攱㌸ㄶ㑢扣㉡ㅡ㤸㙢㌵敦㠰㌶㠱㜹戶㈴㌱愹戳㈵搶ㄵㅤ㠰搲愶㠹挹㝣㘸挶㥦昹㔸㤷て㜸昹㙣慦户晣㥥慣ㅣ㐳ㄸ㠰㤱㈸㘶㍡敡㤸扣㤲ㄲ㤳㕤㔰挹㤸㌴愱㕥㘲㔲〲挲㡤挹〲换愶挴攴㐰戰ㄲ㤳㔲㙡㙥挹㉡戳搰戲㘵㤴㘱㍣昸㕥㘲搹㜲戰㙥㑣㤶㠲㤵㤸㠴挰㈲㈶〷ㄹ㈹㕦ㄸ㘵ㅤ㤳搲㉡㍣㐳㉤ㄲづ挶ㄳㄵ㌸摥慡づ昳昸扥㈲㥣〸㠷换㉢㈳㌱㥣㍤〴づ戶㥡㉢搰㈶㜰㠸㉤㐹㑣づ戵㈵搶ㄵㅤ㠶搲愶㠹挹攱搰㡣扦㡣㜵戲捣昲ㄳ㔸㌹㤱戰〷㐶愲㤸扡愸㘳昲㘰㑡㑣㠶愰㤲㌱㌹ち昵ㄲ㤳愱㈰摣㤸ㅣ㙤搹㤴㤸ㅣ〳㔶㘲㔲㐳捤挷㘵㤵㌹挱戲㈳㈸挳㜸昰㝤戲㘵㐷㠲㜵㘳㜲ち㔸㠹挹㈸戰㠸〹㤳〲㈹敥ㅢ㡤戲㡥〹㠲㄰㠹㐷捡㈲搱㔰戴っ㡦慣慣㐴㔴㘲㘵㔵攵攱敡㡡㘰扣愲愲㍣ㅥ㌸捤㙡ㅥ㠳㌶㠱搳㙤㐹㘲㜲㠶㉤戱慥㘸㌹㑡㥢㈶㈶㘷㐲㌳晥㌲㘲㜲㤶攵愷戱㜲㍡㘱ㄲ㐶愲捥〱慦㘳㜲㝤㑡㑣愶愰㤲㌱㔹㠱㝡㠹挹㔴㄰㙥㑣捥戵㙣㑡㑣捥〳㉢㌱㤹㑥捤㉢戳捡㕣㘸搹㤹㤴挱㌰攴扤捡戲㝢㠳㜵㘳㜲㌱㔸㠹挹㍥㘰ㄱㄳ㘶昹㐹㑣㘶愱慣㘳㔲㔱㡥挷晡㔵㈴㉡㈲㜸㈲㈱㍥搶换㈳戱㡡昲〸㍥㑣㐲挱敡昲㘸戰戶㌴㜰愹搵扣㉦摡〴㉥戳㈵㠹挹攵戶挴扡愲㉢㔰摡㌴㌱㔹つ捤昸换㠸挹㤵㤶㥦挵捡㝤〹㌱㡣㐴㕤つ㕥挷㘴㘵㑡㑣ㄲ愸㘴㑣慥㐱扤挴㘴㉥〸㌷㈶搷㕡㌶㈵㈶搷㠱㤵㤸搴㔱昳つ㔹㘵㙥戲散㝣捡搸㤸摣㙡搹㝡戰㙥㑣㙥〳㉢㌱㘹〰㡢㤸摣㙥愴㝣㝣愲户㡥㐹㍣㡡搳㤶㘸戰扡㌴ㅥつ㠶㙡㐳㠹慡慡㐴㍣㔶㕥ㄱ挳昹㐸愲慡㍣㔸ㄶ戸挳㙡㙥㐲㥢挰㥤戶㈴㌱戹换㤶㔸㔷㜴㌷㑡㥢㈶㈶昷㐰㌳晥㌲㘲㜲慦攵㈳慣慣㈵㉣挶㐸搴ㅡ昰㍡㈶挷愷挴㘴㈹㉡ㄹ㤳晢㔱㉦㌱㌹〸㠴ㅢ㤳〷㉣㥢ㄲ㤳〷挱㑡㑣づ愱收㠷戳捡㍣㙡搹挳㈸㘳㘳昲㠴㘵て〷敢挶攴㐹戰ㄲ㤳㘵㘰ㄱ㤳愷㡣㤴敦〸㤴㜵㑣ㄲ戸㈸㔴㤹㐸挸㘷〸ㅥ捥ㄹ慥攲㡡愹㡥㤶㔷㘱戱〴㑢ㄳ戵㠱愷慤收㈳搱㈶昰㡣㉤㐹㑣㥥戵㈵搶ㄵ㌱㘳㙦搳挴攴㜹㘸挶㕦㐶㑣㕥戰晣㕣㔶捥㈳㥣㠸㤱愸㤷挰敢㤸㉣㑣㠹挹挹愸㘴㑣㕥㐶扤挴攴ㄴ㄰㙥㑣㕥戱㙣㑡㑣㕥〵㉢㌱㌹㡤㥡㕦捦㉡昳愶㘵捦愰㡣㡤挹㍢㤶㕤づ搶㡤挹扢㘰㈵㈶㘷㠲㐵㑣摥㌳㔲扥戳㔰搶㌱㈹挷㌹㐸戰㌶㕣ㄶ㈹慢㈸て㔵㔴㠷慡愲挱慡捡㘸戴扡っ㑦㍤づ㔷㠶挳㠱昷慤收戳搱㈶昰㠱㉤㐹㑣㍥戴㈵搶ㄵ㌱〵㙦搳挴攴㘳㘸挶㕦㐶㑣㍥戱㝣〳㉢ㅢ〹ㄷ㘲㈴敡㌳昰㍡㈶戵㈹㌱戹〸㤵㡣挹攷愸㤷㤸慣〲攱挶攴ぢ换愶挴攴㑢戰ㄲ㤳㑢愸昹敢慣㌲摦㕡昶㌲捡搸㤸㝣㘷搹换挱扡㌱昹ㅥ慣挴攴ち戰㠸挹て㐶捡户ㅡ㘵ㅤㄳ㍣晥㌶ㄴ慢づ㔷挴㉢ㄲ㜱挴㈴㔱㡢㙢㌰㤱㜸㌰ㅣ㡢搷㤶㔵㤷㐵㙢〳㍦㕡捤㔷愲㑤攰㈷㕢㤲㤸晣㙣㑢慣㉢㕡㡢搲愶㠹挹㉦搰㡣扦㡣㤸慣戳㍣㝦扢㔸ㅥ㉦散摣㠸㤱愸摦挰敢㤸㑣㐸㠹挹捤愸㘴㑣晥㠳㝡㠹挹㉤㈰摣㤸晣㙥搹㤴㤸晣〱㔶㘲㜲ㅢ㌵晦㤹㔵㐶挱挹愲敦づ捡搸㤸攴㕢昶㑥戰㙥㑣ち挰㑡㑣敥〲㡢㤸昸㡣㤴敦㙥㤴㜵㑣㐲挱㡡㜸愸㉣ㄱ慣㉤㡦〴㐳㔵ㄵㄵ搵㘵戵攱敡慡搲㐴慣㉣㕣㔱㔱㔱㔹ㄵ攸㘰㌵摦㠳㌶㠱㐲㕢㤲㤸㌸戶挴扡㈲㍦㑡㥢㈶㈶ㅤ愱ㄹ捥挸㠸㐹㈷换㉦㘵攵㐱㠴㠷㌱ㄲ㔵㘴挷昵〸㑢愰搹㔸㜵〵㉢搷ㅥ㜷㐳愰散戵㐷㠷搷ㅥ㜹㘳㑡㔵㠳捤㜲㤹搱慡㝡〲慡㕣挷㌲㔷㡥敤㥣㈷挱挲戱㥢㤹戲敦㈹㤴捤㘴㑦㐴昱㍣㘵㕣愱㉡㑦㔴㠷㙡㈳㜸㐸㝢〲㑦㝥㠶㙦挳挱㐸愸戲戶搶昷戴㉢㕡ㄵ挳㈹㝡㈲ㄴぢ攳㝣㌰ㄴ挴㠳㤶攳昱㜸㔹㈴㔱ㅢ慣慥㠸攲㌰戸摣昷㡣㉢㡡戳昸㌲挴㈸㔱ㅤ慤挲㕤㤱㌸敥㐳搴㤶㤵㠵换㙢愳昱㘰㙤戰㉡㕡改㝢搶ㄵ挵挳㤹㉢捡换㐳挱㑡晣㈶㔱愸ㅡ㔷㘷㈲㤵戸㥣ㄹ㉢〳㕦㠶摢ㅦㄵ㠱捤慤ㄱ捦愱㡤昳㍣攱〵挲㡢㠰挰ㄶ戶昲㈵㔲㉦ㄳ㕥㈱扣捡捡㉤㙤愵挸㈷㥢戳愵敡㠹㑡戹戴戹ㄳㅣ敡㕥摡㝣㥢㡤摦〱攰搲愶㙤㥤㝡㈵搹攱愵捤挰搶戶㜲ㄹ摤㝢〴攱㘳㌶㤵敢㤸摢愱㔲收晥愷散〸㜵ㄲ搷摥㘰㈵慥㍤戳挶戵㐷搶戸㙥㙦㔵㝤〹㔵㙥㕣㜷戰扤㝦〵ㄶ㜱敤㘳捡扥慦㔱㌶ぢ愶扣㌶ㅣ慥㐸挴㜰挷愸㌶㔴㕥㔶㔹㥤〸㤷攲ㄸ慣愲慡ち㈷㉡㠹㐴㤹敦ㅢ㔷戴ㄶ攷㤷㜸ㄲ㜳㔵㐵㔹愴㍣㠴昳换摡ち摣扢㐲〰㜰〱愰戲㌲ㄸ㉢昵㝤敢㡡攲㜶㔷㌸ㅣ挴㜳户㉢㜰愱愰㍣㕥㠱戳愱㔰㐵㐵㔹㈲ㄶ挶㐳挱㜱㕦换昷㉦㔷戴㌶ㄸ挷㐵㥥㔸㜹㌴㔱㕡ㅤ㡡〵㜱捡㕡ㅡ㉡㉢挳慣〸㠶愰㌵ㄱて散㘸㡤昸㌷摡㌸摦ㄱ扥㈷晣〰〸散㘴㉢㝦㈴昵ㄳ攱㘷挲㕡㔶敥㙣㉢㐵㕥㕡㡡づ戶㔴晤㔱㈹㜱㉤昰挶昵㜷㌶晥〳攰てっ戰慤戳挵㜵愰慤㍣㡥㈱㍤㥥㤰㡦扤愱㡥㙢〹㉡昵㍥昴户㕦㔳慥扢㐱㠲晢搰㕤㔱㉦㜱㉦〴攱敥㐳㑢㉤㥢戲てつ㠲㤵㝤愸ㅦ㠲㡡愹㠴搲㌲㐵㈶㙣搹㑥㤴挱㔸攴㕤㘵搹捥㘰摤㈹㔱つㄶ㝦戸敥〶ㄶ㔳攲ㅦ㐶捡㔷㠴戲㥥ㄲ㌱慣㍣摣㑡づ㘲〲㔴㠶㉡㠲㔵搵㤱昲㔸㐵㔹㐵愸戴慡慡ㄲ㜳㈲ㄶ搸捤㙡づ愰㑤㘰㜷㕢㤲㝤攸㈰㕢㘲㕤搱ㅥ㈸㙤㥡㝤攸㘰㘸捥戶てㅤ攲昲㌴昲㔴㐲て㡣㐴つ〳慦㘳昲㜹㑡㑣㝡愲㤲㌱愹㐱扤㜸戶ㄷ〸晣改㤴㡢攱㤶㑤昱昷〸戰ㄲ㤳㙤愸㜹㔴㔶㤹㌱㤶摤㡥㌲搰㈷敦戱㤶㉤〶敢挶㘴ㅣ㔸晣攵㌸扤挱㈲㈶攳㡤㤴㙦㝢㤴㜵㑣㈲㜸㘲㝤㘹㙤慣ㄲ攷㑡戸挶㔳ㅥ慤㡥攱㉥㐲㌴㕣㕤㠹慢㜱㘵晣㕣㥢㘰㌵敦㠰㌶㠱㠹戶㈴㌱㤹㘴㑢慣㉢㥡㡣搲愶㠹〹㔳晦戲挵㠴搹㠰挲昳攷扣攵㘱昶捥〰㡣㐴㑤〷慦㘳昲㑡㑡㑣㜶㐱㈵㘳㌲〳昵ㄲ㤳ㄲ㄰昸搳㌱㤹㘹搹㤴㤸散つ㔶㘲㔲㑡捤戳戲捡捣戶㙣ㄹ㘵㙣㑣昶户㙣㌹㔸㌷㈶ㄱ戰昸挳〳〴挰㈲㈶戵㐶捡ㄷ㐶㔹挷㈴㔸ㅤ〹㐷㙢㈳㠹㘰愲ㄲ㥦㠷㤱㔸㔵㈲㠲ぢぢ挸扥㈸㐵ㄲ㐶戰㌶ㅡ㠸㕡捤ㄵ㘸ㄳ㠸搹㤲挴㈴㙥㑢慣㉢㑡愰戴㘹㘲㌲ㄷ㥡戳挵㠴改㝤挲㥦㐷㈳捦㈷散㠱㤱愸〳挰敢㤸㍣㤸ㄲ㤳㈱愸㘴㑣收愳㕥㘲㌲ㄴ〴晥㜴㑣敡㉤㥢ㄲ㤳〶戰ㄲ㤳ㅡ㙡㙥捡㉡㜳愰㘵㐷㔰〶晡攴捤㕣㍡改㘵㈴㔸㌷㈶ぢ挱攲㉦挷ㄹ〵ㄶ㌱㔹㘴愴㝣愳㔱搶㌱㐹攰㜴愸㉣㕥ㄹ㉦ぢ㤶㔶攱攰㥣㝢慣㘰ㅣㄱ㈹挵慤㔰ㅣ晦㤵〵ㄶ㕢捤㘳搰㈶戰挴㤶㈴㈶㑢㙤㠹㜵㐵〷愱戴㘹㘲㜲㌰㌴㘷㡢挹㈱㤶扦㠸㐶慥㈲㑣挲㐸搴㘱㜶㕣㤳㔱㘲㐳扥〳㠷㠳㘵㕥㤸㌳〵慣㌳㤵㌰㡤㌰㥤㌰㠳㌰ㄳ搰㌹㌷㘰㘳愲㡥戰㝡㉣㠳搶㌹㠱愳挰攲てて㔶愰㜸㕥攰㌸慢㜷ㄶ㜵散㑢㤸㑤搸㡦㌰㠷戰㍦㈱〲昰ㄷ㌰ㅢ㘹户戶㝦慡摡㤳摣㌳〰㤹㘸昸昱捤㜸っ㍦㝥㠷挷㠴户㉥ㅤ搱搸摡捣散昱㥣㍣晣昸㥤晥㝤慤晣摣㝦晣㌵㕤㑣〴改〹㔵㝣ㄷ晣ㄳㄳ昷晦㐲て攷㕤㌲㌵㠴ㅡ户挳摢㠹挲摥㠲ㄳ㘱㙥搶㕦㡣搵昹㐹㔳昰慢㝦昱㤲㥡㘱㤵㈵㈳㤶㐴攳昵晣㜵㕥㘴㌱愱㘱捥收つ㘳㕡戰㠹挷愳㑦㙤ㅡ㉡扦ㄹ换ㅣ户慥㌶搱㘹㠰㝤㌴晢㡥㐹挶晥㌴戳㙤㌶愱搹㙤㠷㈷㡤㈳愵っㄵ〳昸㈰昷捤㤳㈵捦敦㤳昵㑡戲昸ㅤ㙥㌸㍣ㅥ戳ㅡ㕢昰㑤㥥晣摣㍣㤵昵昷昵捣㜳戴昱摣㙡慢㘰㐴攳挲㠶慤㘱㐳慦㉣㍦㌹㌸慣慥㔵㝥戶㜳㉢搴㉢攷〴戸挷ㄷ㠷扤扥㐱㝤愶昴〹〵ぢ捥㐷㈸㌶愲㤷㔴搷戳㑦扥晣捥㕣愸㔴㕣愲搴㐷㑡㉤㐷愱㌷㌶搲㥦摤㜳㌶〴摥挳户㜱㌲㥥㠱㝡㤶愹㐸㝦㡡㜶㠰㤹㘲昸挳愳㌷搰〹愶晦ちㄴ㘴㔹㌵愲散㌴ㄱㄶ㄰づ㈴㌴ㄳ㕡〸慤〰扦㍡ㄷ挲㕣〲敡㈴愸攷扣㤳愹戲〸㜵敡㐲搰㥣㉥捡㌹て攸㕢〲慥㘰㔰㥦㥡㍥搵〵挷㐱㉥晤愷ㄵ攵㐷㙦㡤敢㤹つ挵㐰㌶㌷搵㡦㠹㘵扡㠴㑢挶敦ㅣ挴㍥晥改昶㜱㍥晢㌸㐴昷㌱戶㑦戸攰㈸昴搱㥥攳㤱㡦攴つ㙦㘶㉦攸㠴〹愹散㠵㘹㕤摡㤲㤵散㘵㤹敥㘵㐴㥦㙡㜵㌸㝡愱㌵愰㈱㝣㈴㠵㔷戹挲ㄷ㔰昸㘸㉤㍣ㅣ挲〷ㅢ㘱敥扣晣捥戱ㄴ扥ㄸ㈲戶扤扡挴ㄴ㔸慦㉥㌵〵ㅡ慢㉥㐳㠱〶㘱㍢愷攸㙡ㄴ搰㔶摥㈴捣敢扢挱㘶㘳㠸晥扦搰晣ㅦ㌰晦㙦㌶愴攸ㅡ摢㜲戶敡扤㝣㘸挱〷㠷愷㍦愱攱戲〵㠳晣慦㕦㝡攳攰愳ㅥ㜸敡攲ㄱ户摦㌲戸㌶㌰戳晡搶㈷㙥ㅦ慣㙥㐶换攴㙣㝢〵㍤攸〳晤㐵ㄸ㔴搶搹戶搰㔴㘴㍣㜱昷㌶㘸愲戳㥤㤳㘱㠳扢㉢扦ㅤ慣捣戹㔳挰㍡愷ㄲ㑥㈳㥣㑥㌸㠳戰ㅣ搰㌹㔷摤㘹㥢㉦挳㠶㝤〵敥㐶㠱㘵攷㉣㑡攵〵敥㐱㐱搴㥤捤愶攷㄰㔶㄰捥㈵㥣㐷㌸㥦戰ㄲ攰㔷昷㐲㔸愶㜰っ㘳㜶愷昰㠵愸㔳㙢㔰愵〳㝦ㅦ戶㝣ㄷ㠱敢㌰愸捦搰攱㔸搹㙡㝦㐸摢搵㠸挷㔶㔰晣㌱〸㈵扤㜴ㅦ〷㈴愷戹戳摡昲搲㍥愶㈲晤搱扢㠱挷愱〹㝦㜸㐲〹昴挲愰愷㔱㄰㠳慥㐴搹戹㡡㜰㌵攱ㅡ挲戵㠴敢〸搷〳晣敡ㄹ〸㡢㐱㤳扣〶摤㠸㍡昵㍣慡戴㐱捦㘲换㜷㌳㌸慣挹戱㤸㥣攳㈰㙢愷㤸摦戹㤵挲捣㙥搲挲捣愰昲摤づづ扢戵㥡㍥攵㐱㌵〶搲㥣户㝡㈹摥㐹改ㄷ㈱㘳㈹昵ㄲち㔶㕢搱㙢㙣つ㘳昸昶扣㌶㘰挲扥㙥㕢戶㌵㘱ㅢ㙥敤攴敢㝡晣㍤㠳㥦摢愶换扥扢慥㔸㌳昸摣㠷㍢扣戹搳换てっ㔶敦愱㘵㌲ㄴ挹〹㍢ㅣ㠳捥㍡㘱㙢㑣㐵挶㐳㠰㍦㠴㈶㤹戰㙢㌰㝥㜷挲㝥〴㔶〲㜲㍦㔸攷〱挲㠳㠴㠷〸てㄳㅥ〱㘰挲㝥㘲㥢愷㑣搸捦挰攲て愹㜵㤴捡ぢ㝣㙥搵㍤捥愶㑦㄰㥥㈴㍣㐵㜸㥡昰っ攱㔹㠰㕦㝤〱㘱㠹㙦ㄹ挶散㑥搸攷㔱愷扥㐲㤵づ搹㤷搸昲扤〸づ㈱㥢挸昹㕡〲攱攴㝣㝤㤹搲㍦㐰㈶改愴攴㝣敤搷㤶㤳晡㥡㡡㡣㠷〱㌳挹㐹㥣昴㈶昴扡㑥晡ㄹ慣㌸改㉤戰捥摢㠴㜷〸敦ㄲ摥㈳扣て㠰㤳㝥戱捤㔳㥣昴㉢㔸晣攱ㅢ昴㤴捡ぢ晣㘶搵㝤挴愶ㅦㄳ㍥㈱㝣㑡昸㡣昰㌹攱ぢ㠰㕦晤〷挲攲愴㉤扤㑥晡ち㜵敡て㔴㘹㈷晤㡥㉤摦㌷攰戸慡㐷搲㑢摤㔳扣昴㉦㡡㌳㤳㈸㥢㤷扡戴攵愵捥愶㈲攳愹挰㑣㍢ㄲ㉦晤〴扤慥㤷ち挱㡡㤷㝥〶敢慣㈵晣㐲㔸㐷昸㤵昰ㅢ〰㕥㤲挴㈳晡㈳挵㑢㥤搰ㅣ㘶攴㌸扦㔳㉡㉦搰搹慡晢㠳㑤晦㑢昸㤳挰戳〸㐷ㄱ㜲〹㜹〰扦敡〲㘱昱搲敦敢㍣㔳愹〰㜵㉡㠰㉡敤愵㈲㙣昹㍡㠰愳㤷㠶搲㑢敢㈰㥤㥣㑢づ挵㤹摢㤳捤㑢㍦㐲㌴敢㠲晢挱㔴㘴㍣ㅥ㤸㠹㐰攲愵㈲攸㜵扤搴ぢ慣㜸㈹〰搶改㑡攸㐶攸㑥搸㡣戰㌹〰㕥㤲㔴愰っ㉦㌱昹㐷扣戴㈵愵昲〲㑣晢ㄱ㜵㍤搸㜴㉢㐲㑦㐲㉦挲搶㠴㙤〸摢〲晣㡡搹㐰攲愵て扤㕥㉡㐶㥤㘲㈲㡦昶ㄲ㔳㠴㝣摢㠳挳㠲ㅢ㑦㈷扤㥢攲愴㍥㤴㘶戲㑤㌶㈷扤搱㤶㤳㕥㌷ㄵㄹ㡦〷摥〵㥡挴㐹晤愱搷㜵㔲〹㔸戱㙡〰㔸㘷㈰㘱ㄷ㐲〹㘱㔷㐲㈹〰㑥㉡戵捤㔳愶㔲ㄹ㔸㜱㔲ㄹ愵昲〲攵㔶㕤㌹㥢㠶〸㘱㐲〵愱㤲㔰㐵愸〶昸㔵〸挲攲愴挷扣㑥摡つ㜵㡡㤹㌵摡㐹㘱㙣昹〶㠱㠳㤳㈶搱㐹て愵㌸㘹㌰愵㤹晤㤲捤㐹昷戵攵愴㝢㑤㐵挶㘳㠲㤹㉡㈳㑥ㅡ〱扤慥㤳㤸㉦㈳㑥ㅡ〹搶ㄹ㐵ㄸ㑤ㄸ㐳搸㤳戰ㄷ〰㑥㤲㘴㤹㡣㤹挴昴ㄸ㜱搲㌸㑡攵〵㤸ㄸ㈳敡挶戳改〴挲㐴挲㈴挲㘴挲ㄴ挲㔴㠰㕦㌱㕦㐶㥣㜴㡤搷㐹搳㔱愷㤸敡愲㥤㌴ㅡ㕢扥㤹攰戸摥㙡攸愵搵㈹㕥摡㠷攲㤳㈰㤴捤㑢㤷戴攵愵㡢㑤㐵挶昳㠲愷㐰㤳㜸㘹㝦攸㜵扤㌴ㄵ慣㤸ㄵ〱敢搴ㄲ愲㠴ㄸ㈱㑥㐸〰攰㈵㐹㕦挹昰ㄲㄳ㔶挴㑢昳㈸㤵ㄷ㘰慡㡡愸慢㘳搳〳〸昳〹昵㠴〶㐲㈳愱〹攰㔷捣㘰ㄱ㉦㥤敥昵搲㠱愸㔳㑣㍥搱㕥㥡㠵㉤㕦ぢ㌸㑣愵㘹㜴搲挹㈹㑥㕡㐸㘹㈶㠸㘴㜳搲㜱㙤㌹改㔸㕢㤱晥摣㘰㘶㤳㠸㤳づ㠶㕥搷㐹㑣㈹ㄱ慢づ〱敢ㅣ㑡㌸㡣㜰㌸㘱ㄹ攱〸〰㥣㈴昹㈴ㄹ㑥㘲〶㠹㌸改㈸㑡攵〵敡慤扡愳搹昴ㄸ挲戱㠴攳〸挷ㄳ㑥㈰㥣〸昰慢〶〸㡢㤳ㄶ㝡㥤㜴㌲敡㔴ㄳ慡戴㤳ㅡ戱攵㍢ㄵㅣ㥣戴㌷㥤㜴㘰㡡㤳㑥愷㌴㌳㌶戲㌹愹摥晡㈲晤昹挱昳㑤㐵挶昳㠳㤹摥㈱㑥㍡〷㝡㕤㈷㌱挷㐳㥣戴〲慣㜳㉥攱㍣挲昹㠴㤵㠴ぢ〰㜰㤲㈴㜸㘴㌸㠹㈹ㅤ攲愴㝦㔲㉡㉦挰㘴づ㔱㜷ㄱ㥢慥㈲㕣㑣戸㠴㜰㈹攱㌲挲攵〰扦㘲㡥㠷㌸㘹ㅦ慦㤳㔶愳㑥㌱㍤㐳㍢㠹㠹ㅦ扥慢挰挱㐹㌳改愴改㈹㑥扡㠶搲㈷㐲㈶㥢㤳㈶戵攵愴㠹愶㈲攳㌹挲㈷㐳㤳㌸改㈶攸㜵㥤㜴ち㔸戱敡㘶戰捥㉤㠴㕢〹户ㄱ㙥㈷摣〱㠰㤳㑥戳捤㤷搱㈹收ㄵ㌸〳慣㌸改㉥㑡攵〵㤶㕢㜵㜷戳改㍤㠴㝢〹昷ㄱ搶㄰敥㈷㍣〰昰慢㌳㈱㉣㑥ㅡ散㜵搲㐳愸㔳㘷愳㑡㍢改㉣㙣昹ㅥ〱〷㈷㑤愵㤳㜶㑢㜱搲㘳㤴㘶㑥㐳㌶㈷㔵戴攵愴戰愹挸㜸㥥㌰ㄳ㈰挴㐹捦㐰慦敢㈴㘶㐱㠸㤳㥥〵敢㍣㐷㜸㥥昰〲攱㐵挲㑢〰㌸㐹㔲㈰攰㥢搴㈳㈵㈶㍤㠸㤳㕥愱㔴㕥㠰改づ愲敥㔵㌶㝤㡤昰㍡攱つ挲㥢㠴户〸㙦〳晣㡡㔹㄰攲愴㍥㕥㈷扤㡢㍡挵〴〶敤㈴愶㐶昸摥〷〷㈷敤㐳㈷ㄵ愷㌸改㐳㑡摦〸㤹㙣㑥敡搵㤶㤳㝡㥡㡡㡣攷ち摦っ㑤攲愴捦愱搷㜵搲㉤㘰挵慡㉦挰㍡㕦ㄲ扥㈲㝣㑤昸㠶昰㉤〰㑥扡捤㌶㑦㤹㐹捣㐲㄰㈷晤㥢㔲㜹〱收ㅦ㠸扡敦搸昴㝢挲て㠴ㅦ〹㍦ㄱ㝥㈶慣〵昸ㄵ搳ㄲ挴㐹㡥搷㐹敢㔰愷敥㐱㤵㜶ㄲ㜳ㄵ㝣扦㠱攳挷摢㌰㝡愹㈰挵㑢扦㔳㥣户晤戳㜹㈹愷㉤㉦晤昹㡢㍥捥㑣㝦挰㜰㠰㈹〳㘲㔰㉥捣㠰㐱扣敦㉦〶攵〱㥤㝣㐲〱挱㐷攸㐰㈸㈴㌸〰扦㘲㍡㠰ㄸ戴ㄶ敡摤㔳慤㡥愸㔳捦愱㑡ㅢ昴ㄴ戶㝣㥤挱㈱敡挳晢㤴〵搵て㄰收愹㌰㘳攲㜷㡡㈸晤扣㉢捤㌴〱㕦㔷㉤㕤㐳改㝦ㄹ㘹㝤㉥摤㥤搲㉦戸搲捦㔰㝡㜳㉤㍤㠲搲㕦ㄹ㘹㥡攴㜷戶愴昴㡢慥昴戳㤴摥ち㥣㥣搴㔷愸捦㈰㙣㑦挳晤㑥㉦ち扦〴ㄱ昷㡡搳换愶挰㠱慡㔷㑣㐱慥㌸扤㡡㠲㙤㔹昴㌶ち㌸㠵昸ぢ㈷昰㑣㄰㤰㤶㙤㥤挰㥦戶戲搷㥡㌳昷㌸㜷昰㡤て慣㔹晣搹㤴昳〷扦昸㘹㈴㔸㕤㜷挱㘰挵㈴㠱攴〴㐸㥥挰㝦〸㤳戲㥥㑦㝣㘰㉡搲ㅦ戰ㅣ㘰㙥㠱㑣㠰摥戰ㅦㄳ㠰〹〲搸捡㜱戶〷㍡㍢㄰晡㄰㜶㈴散㐴搸㤹搰ㄷ攰㔷㕦㐱㔸㈶挰敢㔰敦㑥㠰晥愸㔳晦㐶㤵㥥〰㑣㈶昰つ〴㠷〹㔰搳㈷㕣愶㕥㠶戰扤ㄶ攲㜷㑡㈸晤㥤㉢晤つ愵㑢戵昴㜰㑡㍦㙦愴昵㜴㈹愳㌴敦搷㙢摤摦㔲㍡愴愵㐷㔰晡㘹㈳慤㈷㐰〵愵㝦㜰愵晦㐵改㉡㜰㌲〱慡搴攳㄰戶㘱昴㍢晦愰昰㡦㄰㜱㈷挰㑦愶㈰ㄳ攰㘷㔳㤰〹挰晣〱摢戲㠸㐹〱㝦㙤〲㌰㤳愰摤〹㜰搳ㅦ捦㤷㝦㜷敤戲愱㍤慦㝣敡昱㥡攳㡥ㅣ㝡搴攴㐷㘷慤㠸ㅣ㍤㔴㌱㥢㈰摢〴㜸〸㈶㘵㥤〰て㥡㡡㡣〷㑣㜷㠰㈶搹㑦づ㠱晤戴㤴敦㐰㈱㔸㤴昱慢ㄸ㐰㘷ㄸ愱㠶㌰㥣㌰㠲㌰ㄲ㠰晤愴攴ㅤ㔰㌰㘵㍦搹〹捤㘵㔶㡤愶ㄴ㑥扢慤扡㌱㙣扡㈷㘱㉦挲㔸挲㌸挲㜸挲〴〰㑥扢㈱㉣戳敡㐶㡣搹㥤㔵㤳㔰愷〲愸搲㤱㘷㍥㠲㙦ち㌸捣慡ㄹ摣㑤㕥ぢ攱攴㔹昷㌴㑡昷㠰㑣搲㐹挹㉢㌸慢摢㜲搲ㄵ愶㈲攳㐱搳㍤愱㐹㥣㌴ぢ㝡㕤㈷㌱ㄷ〰㘵摣〵〳㍡戳〹晢ㄱ收㄰昶㈷㐴〰㜰搲㌶戶㜹㡡㤳戶〳㉢㑥㡡㔲ち㘷摤㔶㕤㡣㑤攳㠴〴㘱㉥㘱ㅥ愱㡥㜰〰〰㘷摤㄰ㄶ㈷㥤敤㜵㔲㍤敡搴づ愸搲㑥㘲㠲㠰慦ㄱㅣ㥣㌴㥤㑥㍡㈳挵㐹ぢ㈸捤㕢敤搹㥣㜴㜲㕢㑥㍡挹㔴㘴㍣㜰㝡ㄷ㘸ㄲ㈷㉤㠲㕥搷㐹㈵㘰㔱㐶敥㌳搰㔹㐲㔸㑡㌸㠸㜰㌰攱㄰〰㥣㔴㙡㥢愷㌸愹っ慣㌸改㌰㑡攱慣摢慡㍢㥣㑤㤷ㄱ㡥㈰ㅣ㐹㌸㡡㜰㌴攱ㄸ〰捥扡㈱㉣㑥㍡挸敢愴攳㔰愷㉡㔰愵㥤挴㍢昶扥ㄳ挰挱㐹ㄳ攸愴㐵㈹㑥㍡㠹搲㝢㐰㈶㥢㤳づ㙣换㐹ぢ㑣㐵挶㠳愷㠷㐰㤳㌸改っ攸㜵㥤㌴ㄴ㉣捡戸㤰て㜴捥㈴㥣㐵㌸㥢㜰づ㘱〵〰㑥慡戱捤㔳㥣挴㥢攳攲愴昳㈸㠵戳㙥慢敥㝣㌶㕤㐹戸㠰㜰㈱攱㥦㠴㡢〸慢〰㌸敢㠶戰㌸㘹㡥搷㐹㤷愰㑥昱㐶户㜶搲㘸㙣昹㉥〳〷㈷㑤愶㤳㘶愵㌸改ち㑡昳㘶㜴㌶㈷㑤㙦换㐹搳㑣㐵晡〳愸〳㤳愱㐹散戹ㄶ㝡㥤敢〸搷〳晣㡡昷戲㘵慣㤳捣㔸改㐱扦㥡㙡改㠹㠶收㑦搷晢ㄵ敦㜷㡢昴〴㐳㙦㈱昴㜴㑢㡦㌷昴㤶㐲昳㥥戸㐸㡦㌳㜴㕦愱㘷㕡㝡慣愱昷㈶㕤戰て攸慣㜷搰攴㜹㤴㈵㌵昲愸㍥晣っ㐸扣㐵〸㍥㤳户㈰挱㥢扡ㅤㄳ晣㜵㤰戸㍣㉦㔰㥥㝤㕣㉦扦晡搱〹㑦敤㙢㥥ㅦ㙦ㅥ㡢㐷㔲攲㔹㝤㔳敡ㅡ捣㙦㕡攰㔱㤵㝣㕡㤴㝤㈶㥣㈳㈵摥搰昶㈵㈶㌴攳㈱㜱ㅤㄲ㘳㕡昰攰换㔸㘱挳挴㐸㙢㙢扣戹昱敦昰〳㍣昸ㅤ㤶㝣㝥㔰㘲㡡昳㜱搵戹㔹㝦〲攵㜲㔴㘷扤搱愹㕤㤸昴㠷㝤挲㙢㉥ㅦ昶昷搷㝥㝥挷㜷ㅢ收て敦㠴攳づ㝣㑢㜱㉣㕥扣愰㌹扥愸慥愵敥攱㕢ㅡ㜳搵㥥㠸慣攴挲㝥㕤戶㤵摣㐵攴户攸㥤㍢搰挲㜷㈷㈰て㌷扢㤵㔸㠳㐷㘰㍢㜷㠱㤱摦㥣ㄲ㐰㉥㤱㥤ㅦ㈳捣晣搰㔳㤲㠹ㄱ㌲㥢㠶ㅢ㕡㑦挹搹㤶慥㌱戴㥥㤲晢㔹㝡㤸愱昵㤴㥣㘳改愱㠶敥ぢ㤷昹搵晥㤶ㅥ㘲攸㝥㐲㐷㉣㍤搸搰㝡愶㐶㐱愷晢㥦扦㥢㌳㤲㈶ㄵ㉣慥㡢戵捥昳捤㡢搷捤㥤搷㡡㙦㝦㜶㘴㔰愶㥥㜷昷㤰㍦捡㘷て捤㥦㡢愶敤摤搶愷愹ㅤㅡ收㐴㥡㥢㈳㑢ぢㅢ收搴挷ㅢ攷戶捥㉢㥣戳〸㜹っ㜸㠰㉡捥㔴ちぢぢ㥤㠷攰㌰㜶挵户㙡㠰㐶㉥ㅤ摦挳㘰摢晣愹捡㝣戵㍢㑣搰改挹换㜲㤲㈱㜹ㄴ㡤㝣㡦〱昲㜰㠳㕡㜶愳〰扦昳㌸ㄸ㙦㐸ㅡ搱㠱昸扥搲㌸㐲㠷㠴㌷敢㠵慥㌰戴づ挹〲㑢㠷つ慤㐳挲ㅢ晡㈲ㅤ㌲戴づ㐹戳愵换つ摤ㄷ㘶昹ㄵ㙦晡㡢㜴㤹愱㜵㐸㕡㉤ㅤ㌴戴㠴㐴㉤〲捤戰搸㤷㍡〸〵㍡摢㜹〱愶戸捥㍡捣戲㉦㝡㔹摥㐷ㄷ搹㤷扣㉣㙦㤸ぢ晢戲㠷つ㥣っ㔶㜶愴慦㠰㜵㕥㈵扣〶昰慢㔳㔰㈱攳敤㘷〶愶㕤㜴慡愵晢ㅡ㕡扢㠸㜷㥢㐵㝡㘷㐳㙢ㄷ㥤㙥改㥤っ慤㕤挴㍢搲㈲扤愳愱晢㡡㡢㤶㕢扡㡦愱戵㉦捥〲捤ㄹ攱㜰㠵收慡敤㔱㤹戹ㄶ摦攷挸戹ㄶ㤳敢昰㐳㔲㌷㐰戳㔹㠷扣㤹㉤扤㙥㘳搴㙢㡢捥戱昴搶㠶搶ㄶ昱㠶户㐸昷㌲戴戶攸㕣㑢昷㌴戴戶㠸㌷挵㐵㝡㉢㐳昷ㄵ㡢捥户㜴て㐳敢愰昳挶戹㐸㙦㘹㘸㙤攸㠵愰ㄹ㜴扢扡搴挵㈸㐸挸扥㠲㈹㙥搰㔷㠳㤵ㄵ昲㌵搸㜶㔶挸㘶㔰㥥戹㐲扥愵㔷戸㐲㤲慢攳摦愴㍣㡥扡ㄲㅤ挸昰㡡捣昰戴愳㜸摢㕣攸㉥㠶搶㡥攲㡤㜴愱㍢ㅢ㕡㍢㡡户搶㠵敥㘴㘸敤愸㙢㉤摤搱搰㝤挵㔱搷㔹摡㙦㘸敤愸敢㉤敤ㄸ㕡㍢敡㐶搰㈹慢攳㔶㄰攲愸㜵㌰挵㜵搴㥤㤶晤搵挳〶搶㠰㤵ㄹ晦ㅢ捤晥て攱㜷㠰㕦摤㡦ちㄹ㜱㥥改㑣㥢晤㠰愵㜳つ慤捤㝥搰搲捡搰摡㙣摥挰ㄶ㈵㌹㠶搶㘶㍦㙣改㍦搷敡㌳㤶扥㘲㌶㙦㜲㡢昴㝦つ慤敤攳㕤㙤捦㡣晦ㅤ㤵㤹㌳扥挰挱挸㔳㘷㝣〷㔲㥥㐰㍥㙥搵晦㘲搴㙢㡢㥥戰昴㕡㐳㙢㡢㜸挷㕣〶昳戳愱戵㐵扣㠷㉥昴㑦㠶搶ㄶ昱慥扡搰㍦ㅡ㕡㕢昴㡣愵㝦㌰戴づ攴戳㤶晥摥搰摡㔰摥㜴㑦㤹昱扣慦㉥㠱っ挰ㄴㅢ挸〰敦㡡㑢挸扡搲挰㙥㠴敥〰扦㝡换慡晤挶愸搵〶昲㔶戹㡣敤㙢㐳㙢〳㜹昳㕣攸慦っ慤つ㝣搷搲㕦ㅡ㕡ㅢ昸㥥愵扦㌰戴㌶昰㝤㑢㝦㙥㘸㙤挹㠷愰㍤㈱晢ㄴ㤵㤹㈱摢㥡㈳㑦つ搹戶愴㍣㈱攳扤㜹ㄹ攳〷㐶扤戶攸㘳㑢扦㙦㘸㙤ㄱ敦摦㡢昴㝢㠶搶ㄶ昱㡥扥搰敦ㅡ㕡㕢挴㝢晣㐲扦㘳㘸㙤搱攷㤶㝥摢搰晤㘴㙥㝥㘱改户っ慤つ㘵ち㐰㑡挸晥〵㐲㐲戶㌳㑣㜱㐳昶ㄳ㔸〹㔹㕦ㅡ搸㡦搰ㅦ攰㔷扣㑢㉦㠳㜸搵愸搵〶慥戵昴㉢㠶搶〶昲㑥扥㐸扦㙣㘸㙤攰㍡㑢扦㘴㘸㙤㈰敦昶㡢昴㡢㠶搶〶晥㘶改ㄷっ慤㉤攱つ㝦㑦挸㥥㐳㘵㘶挸捡㌹昲搴㤰㠵㐹㜹㐲昶㠷㔵晦愴㔱慦㉤晡慦愵㥦㌰戴戶攸㑦㑢㍦㙥㘸㙤㔱づ㡥㠵㘴攸㡦ㄹ㕡㕢愴㉣晤愸愱戵㐵戹㤶㝥挴搰晤㈴㘴㑣㑡㄰㈵てㅢ㕡ㅢ㕡〰㍡㈵㘴づ〸〹搹ㅥ㌰挵つ㔹ㄱ㔸〹搹㘰ㅡ㌸㠴㌰ㄴ攰㔷〱慢㜶㡤㔱慢つ散㙡改晢っ慤つ散㘶改㝢つ慤つ散㙥改㝢っ慤つ摣捣搲㜷ㅢ㕡ㅢ戸戹愵敦㌲戴戶㘴㑢搰㥥㤰摤㠱捡捣㤰敤挹㤱愷㠶㙣㉣㈹㑦挸㝡㔸昵㌷ㅢ昵摡愲慤㉣㝤㤳愱戵㐵㍤㉤㝤愳愱戵㐵扤㉣㝤㠳愱戵㐵㕢㕢晡㝡㐳㙢㡢戶戱昴㜵㠶敥㈷㈱㘳㠶㠴㠴散㕡㐳㙢㐳㡢㐱愷㠴慣て〸〹搹㌴㤸攲㠶慣㍦㔸〹搹㜴ㅡ㌸㠳㌰ㄳ攰㔷〳慣摡搵㐶慤㌶㜰愰愵慦㌰戴㌶㜰ㄷ㑢㕦㙥㘸㙤㘰㠹愵㉦㌳戴㌶㜰㔷㑢㕦㙡㘸㙤㘰愹愵㉦㌱戴戶愴っ戴㈷㘴慢㔰㤹ㄹ戲〸㐷㥥ㅡ戲㈸㈹㑦挸捡慤晡㤵㐶扤戶㈸㘴改昳つ慤㉤ち㕢晡㍣㐳㙢㡢㉡㉣㝤慥愱戵㐵㤵㤶㕥㘱㘸㙤㔱㤵愵捦㌱㜴㍦〹㔹戵愵捦㌶戴㌶㜴㌷搰㈹㈱ㅢっ㐲㐲㔶て㔳摣㤰㡤〰㉢㈱㙢愰㠱㡤㠴㈶㠰㕦㌱㥤㐲㘶挲改㐶慤㌶㤰〹ㄶ㐲㥦㘶㘸㙤㈰㔳㉥㠴㍥搵搰摡挰㌱㤶㍥挵搰摡挰㍤㉤㝤戲愱戵㠱㝢㔹晡㈴㐳㙢㑢挶㠱昶㠴散〴㔴㘶㠶㙣〹㐷㥥ㅡ戲㠳㐸㜹㐲㌶摥慡㍦摡愸搷ㄶ㑤戰昴㔱㠶搶ㄶ㑤戴昴㤱㠶搶ㄶ㑤戲昴ㄱ㠶搶ㄶ㑤戶昴㌲㐳㙢㡢愶㔸晡㜰㐳昷㤳㤰㑤戵昴㘱㠶搶㠶㑥〷㥤ㄲ戲㝤㐰㐸挸㡥㠲㈹㙥挸昶〷㉢㈱㍢㥡〶ㅥ㐳㌸ㄶ攰㔷ㄱ慢㜶愹㔱慢つ㘴戶㠷挴㘶㠹愱戵㠱捣晦㄰㝡戱愱戵㠱㌱㑢㉦㌲戴㌶㌰㙥改㠵㠶搶〶㌲㙢㐴㤴戴ㅡ㕡㕢挲㌴ㄱ㑦挸㥡㔱㤹ㄹ戲搳㌸昲搴㤰㥤㐱捡ㄳ戲㍡慢扥挱愸搷ㄶㅤ㘰改㝡㐳㙢㡢收㕢㝡扥愱戵㐵昵㤶㍥挰搰摡愲〶㑢搷ㄹ㕡㕢挴慢〰㘲搱㍣㐳昷㤳㤰㌵㔹㝡慥愱戵愱〷㠲㑥〹搹㐲㄰ㄲ戲昳㘱㡡ㅢ戲㠳挱㑡挸㔶搲挰ぢ〸ㄷ〲晣敡㄰慢戶搶愸搵〶㌲昷㐴〶ㄱ㌱戴㌶㤰搹㈸㐲敦㙦㘸㙤攰攱㤶㥥㘳㘸㙤攰㌲㑢敦㘷㘸㙤攰ㄱ㤶㥥㙤㘸㙤〹㤳㔶㍣㈱㥢㠵捡捣㤰㕤挱㤱愷㠶散㑡㔲㥥㤰ㅤ㙤搵㑦㌷敡戵㐵挷㔸㝡㥡愱戵㐵㑣㠸ㄱ㡢愶ㅡ㕡㕢挴ㄴㄹ愱愷ㄸ㕡㕢挴愴ㄹ愱㈷ㅢ㕡㕢㜴㠲愵㈷ㄹ扡㥦㠴散㐴㑢㑦㌴戴㌶昴㘴搰㈹㈱㍢ㅤ㠴㠴散㈶㤸攲㠶散ㅣ戰ㄲ戲㥢㘹攰㉤㠴㕢〱㝥戵挲慡摤换愸搵〶㥥㙢改㍤つ慤つ㍣捦搲㘳っ慤つ㍣摦搲愳つ慤つ㕣㘹改㔱㠶搶〶㕥㘰改㤱㠶搶㤶㌰㠵挶ㄳ戲攱愸捣っ搹㝤ㅣ㜹㙡挸敥㈷攵〹搹㐵㔶晤㘰愳㕥㕢戴捡搲㝢ㄸ㕡㕢㜴戱愵〷ㄹ㕡㕢挴㠴ㅤ㠹捤敥㠶搶ㄶ㌱㠵㐷攸摤っ慤㉤扡捣搲晦㌰㜴㍦〹搹攵㤶慥㌶戴㌶㤴ㄹ㍥㈹㈱扢〶㠴㠴散〹㤸攲㠶散㈶戰ㄲ戲㈷㘹攰㔳㠴愷〱㝥㜵戳㔵ㅢ㌲㙡戵㠱户㔸扡摣搰摡挰㕢㉤㕤㘶㘸㙤攰㙤㤶づㅡ㕡ㅢ㜸扢愵㑢つ慤つ扣挳搲扢ㅡ㕡㕢㜲ㄷ㘸㑦挸㜶㐱㘵㘶挸㕥攱挸㔳㐳昶ㅡ㈹㑦挸敥戶敡晢ㅡ昵摡愲㝢㉣扤戳愱戵㐵昷㕡㝡㈷㐳㙢㡢㤸㍥㈴戱搹搱搰摡㈲㈶ㄴ〹摤挷搰摡愲晢㉤扤㠳愱晢㐹挸ㅥ戰昴昶㠶搶㠶㌲摦㈸㈵㘴㑣㈹㤲㤰扤て㔳摣㤰㍤〳㔶㐲昶〱つ晣㤰昰ㄱ挰慦㥥戵㙡户㌱㙡戵㠱捦㔹㝡㙢㐳㙢〳㥦户㜴㉦㐳㙢〳㕦戰㜴㑦㐳㙢〳㕦戴昴㔶㠶搶〶扥㘴改ㅥ㠶搶㤶扣〲摡ㄳ戲㉤㔰㤹ㄹ戲慦㌹昲搴㤰㝤㑢捡ㄳ戲㔷慤晡慥㐶扤戶攸㌵㑢〷っ慤㉤㝡摤搲㐵㠶搶ㄶ扤㘱改㉥㠶搶ㄶ扤㘹改捥㠶搶ㄶ扤㘵改㑥㠶敥㈷㈱㝢摢搲ㅤつ慤つ㘵昶㔳㑡挸㍥〴㈱㈱㕢ぢ㔳摣㤰㌱㍤㐹㐲昶ぢつ㕣㐷昸ㄵ㠰㉦㌲㔸戵㍥愳㔶ㅢ昸愵愵ぢっ慤つ晣捡搲昹㠶搶〶㝥㙤改㍣㐳㙢〳扦戱㜴慥愱戵㠱摦㕡㕡ㄹ㕡㕢昲㙦搰㥥㤰晤昹㜳戶㤰攵攲换戰㘹㈱换㈷攵〹搹㜷㔶晤㙦搰挰ㅢ晢摡愲敦㉤晤慢愱戵㐵㍦㔸㝡㥤愱戵㐵㍦㕡晡ㄷ㐳㙢㡢㝥戲昴㕡㐳㙢㡢㝥戶昴捦㠶敥㈷㈱㕢㙢改㥦っ慤つ㕤〷㍡㈵㘴扦㠳㤰㤰㜵㠶㈹㌶㘴㉡户㔰晢挳搷〵㙣㍢㤷㘸扦㠷㜲㤹摢㌹摥㥢ㄸ〱㝡㈵昵ㄲ㙤户㌴㐷攵愱〳搹㘵㝣㘳㠶愷ㅤ㤵㙦改慦つ慤ㅤ㔵㘰改慦っ慤ㅤ攵戳昴㤷㠶搶㡥敡㘰改㉦っ摤㔷㍣挲戴㉥改昲㜳㐳㙢㐷㌱搱㑢攸捦っ慤ㅤ挵ㅣ㉦㍡捡扥ㄴ搳戸挴㔱扤扣㡥㘲扡㤶戰㕢㝢㔹愶㘵〹扢㡤㤷敤㘵搹㙤扤㙣㙦戰㥣㝡扥敤挰戶攳敡て㌰扣㑣㔷昷㐶愳㌴㔷敦㐰捡㌳㈷户㐷〷㘲攰摢挶㐰敤敡ㅤ㉣晤㤶愱戵慢晢㔸晡㑤㐳㙢㔷敦㘸改㌷っ慤㕤扤㤳愵㕦㌷㜴㕦㜱昵捥㤶㝥捤搰摡搵㑣愹㤲㤱扣㙡㘸敤㙡㘶㔳愵戸㥡〹㔳攲扥㠱㕥㐷㌱㌱㑡搸㕤扣㉣ㄳ愰㠴㉤昱戲捣㜴ㄲ㜶㔷てㅢㄸ〲㔶㜶㐴愵㘰㥤㈰愱っ攰㔷㐳㔱㈱〳㝢搶っ㑣扢㘸㤸愵㥦㌱戴㜶㔱㡤愵㥦㌶戴㜶搱㜰㑢㍦㘵㘸敤愲ㄱ㤶㝥搲搰㝤挵㐵㈳㉤晤㠴愱戵㉦㤸㑤攴搹ㄱ㍤㠶捡捣捦㡥摤㌸昲搴捦㡥㐱愴㍣㐱㘷ㄶ㤲㔸昴愰㔱慦㉤㘲㕥㤲搰てㄸ㕡㕢挴㑣㈵愱敦㌷戴戶㠸戹㑢㐲慦㌱戴戶㠸搹㑣㐲摦㘷攸扥㘲ㄱ昳㥢㠴扥搷搰㍡攸捣㜸ㄲ晡ㅥ㐳㙢㐳㤹散㤴戲㈳㥡〶㐲㐲㌶ㄲ愶搸ㅤ㔱㘰ㄶ㔸〹搹㈸ㅡ㌸㥡㌰〶攰㔷㑣㐸ㄲ戵户ㅢ戵摡㐰愶㈸〹㝤㥢愱戵㠱㑣㕡ㄲ晡㔶㐳㙢〳㤹挶㈴昴㉤㠶搶〶敥㙦改㥢つ摤㔷っ㡣㔸晡㈶㐳㙢㑢愲愰㍤㈱扢〱㤵㤹㈱㥢捣㤱愷㠶㙣㉡㈹㑦挸㘲㔶晤搵㐶扤戶㈸㙥改慢っ慤㉤㑡㔸晡㑡㐳㙢㡢收㕡㝡戵愱戵㐵捣慤ㄲ㐳慦㌰㜴㕦戱㠸搹㔶㐲㕦㙥㘸ㅤ㌲收㕦〹㝤㤹愱戵愱㑣扤㑡〹ㄹ戳慢㈴㘴戳㘱㡡ㅢ㌲收㐶㐹挸昶愳㠱㜳〸晢〳晣㡡改㔱愲昶㈲愳㔶ㅢ戸挴搲晦㌴戴㌶㤰㈹㔴㈲㝤愱愱戵㠱㑣慡ㄲ晡〲㐳㙢〳て戶昴㑡㐳昷ㄵ〳㤹㜸㈵搲攷ㅢ㕡㕢挲㑣㉢㑦挸捥㐵㘵㘶挸敡㌸昲搴㤰捤㈷攵〹ㄹ㌳戴㐴晤㤹㐶扤戶㘸㤹愵㤷ㅢ㕡㕢㜴㠴愵捦㌰戴戶攸㐸㑢㥦㙥㘸㙤搱㔱㤶㍥捤搰㝤挵愲愳㉤㝤慡愱㜵挸㡥戱昴㈹㠶搶㠶ㅥ〷㍡㈵㘴捣昵㤲㤰戵挲ㄴ㌷㘴捣搴㤲㤰㉤愴㠱㡢〸㡢〱㝥挵㘴㉤㌱昰㜸愳㔶ㅢ挸昴㉤愱㡦㌳戴㌶㤰〹㕤㐲ㅦ㙢㘸㙤攰搹㤶㍥挶搰摡㐰㈶㝤㠹昴搱㠶敥㉢〶㌲つ㑣攸愳っ慤㉤㘱摥㤷㈷㘴㐷愰㌲㌳㘴换㌸昲搴㤰ㅤ㐹捡ㄳ㌲收㡢㠹晡㐳㡣㝡㙤搱㑡㑢ㅦ㙣㘸㙤ㄱ㜳捡㐴晡㈰㐳㙢㡢㤸㘵㈶昴㔲㐳㙢㡢㤸㜷㈶昴ㄲ㐳昷ㄵ㡢㤸㠹㈶昴㘲㐳敢㤰㌱㌷㑤攸㐵㠶搶㠶㕥〲㍡㈵㘴㔷㠰㤰㤰㥤〴㔳㙣挸ㄴ昳挶愴㜵慢㘹扤㍢晡㉡捣昵㈹收㤲㐹㐵㡢愹攰㙦攲ㄷ收㉡挵晣㌲愹㘸㌶ㄵ晣挱〰攷㌴㈸㉤㘰㈲搰〶攷㈹㌱户敦㉦㍥㐱敢㜴㜴愶㤸㕥愴昳〳㔱挲戶扣㡢ㅥ㌲㙣㈱攳愱ㅥ㐵㠹㠳㜲㤶戳挵攳愶捥㌹ㄳ㈵敢㠱㈲㈶㤲㔰㡦戴㈸㘲〲㐹戲挴挴㤱㘴㠹〹㈳㙥㐹㌱㔱㐴晣㔰㥦收㌹㈶㡦㐸挵晣㌴捦㌱愱㐴㉡づ昰㝡㙥〵㠷挶戴つㄹ攸戹㉣㝤㠸ㄲ㍢㜲捥㐳〹摢摡㌴㈶㍦㈴扢㘷晥㠲戴㌸㥦㉤㤸扡㈰㉤㔶愲攴㥡戶捥摢愲㠸㜷晦㤳敤㜹搷㕦〶ㄳ㑢ㅢ晥㝦㙣㐵㌴㙤昸捣づ㤰ㄶ戵摥攱㕦挴敥㜹て㕥〶戳㡡㈵摥㝥㤷挱㕣㡣ㄲㅡ改攱昳㑥㜶戲㝢摥挱ㄶ㘵晢愵㜵捦扢摡㔲㌱㍢慤㝢摥改㤶㡡㝤扤摤㕦捥づ㜹㍦㔹扡扦㠲㈵摥㑡㤶敥㔷㝢扢攷㕤搹㘴昷扣ㅢ㉢捡㘶愶㜵捦㍢戴㔲㌱㈳慤㝢摥戵㤵㡡改摥敥慦㘱㠷扣㌷㉡摤㕦换ㄲ㙦㡢㑡昷搷㜹扢攷ㅤ挶㘴昷扣戳㈸捡㈶愷㜵捦扢㡤㔲㌱㈹慤㝢摥㠱㤴㡡㠹摥敥㙦㘲㠷扣捦㈷摤摦捣ㄲ㙦昱㐹昷户愰㠴㙤㜹ㄷ昱㙥㔹戲㝢摥㈵ㄳ㘵㘳搳扡攷㥤㌳愹搸㉢慤㝢摥㑤㤳㡡㍤扤摤摦挱づ㜹捦㑡扡扦㤳㈵摥慥㤲敥敦㐲挹㡤㍤敦晣㈴扢攷ㅤㅦ㔱㌶㌲慤㝢摥〵㤲㡡ㄱ㘹摤昳捥㤰㔴っ昷㜶㝦ㅦ㍢攴晤ㄷ改㝥つ㑢扣昵㈲摤摦敦敤㥥㜷㌱㤲摤昳敥㠵㈸ㅢ㤲搶㍤敦㘸㐸挵攰戴敥㜹㤷㐳㉡昶昰㜶晦㌰㍢攴扤〴改晥ㄱ㤶㜸ㅢ㐱扡㝦搴摢㍤慦挸㈷扢攷㤵㜸㔱昶㡦戴敥㜹㜵㕥㉡慡搳扡攷ㄵ㝢愹愸昲㜶晦㈴㍢攴㜵㜱改晥㈹㤶㜸㐹㕣扡㝦摡摢㍤慦㉥㈷扢攷㔵㘵㔱ㄶ㑡敢㥥㔷㥡愵愲㍣慤㝢㕥㝤㤶㡡㌲㙦昷捦戳㐳㕥攳㤵敥㕦㘰㠹㤷㜷愵晢ㄷ扤摤昳㑡㘹戲㝢㕥㈱ㄵ㘵㈵㘹摤昳慡愹㔴散㤲搶㍤慦愴㑡挵㐰㙦昷慦戲㐳㕥慦㤴敥㕦㘳㠹㤷㉡愵晢搷扤摤昳慡㕦戲㝢㕥敤ㄳ㘵㝤搳扡攷ㄵ㐰愹搸㌹慤㝢㕥ㄵ㤴㡡㥤扣摤扦捤づ㜹敤㑤扡㝦㠷㈵㕥㜶㤳敥摦昵㜶捦㉢㔸挹敥㜹攵㑡㤴㙤㥦搶㍤慦㘶㐹㐵敦戴敥㜹㠵㑢㉡㡡扤摤㝦挸づ㜹ㅤ㐹扡晦㠸㈵㕥㐲㤲敥㍦挶㠶扢昰㜸㌵㈶搹㍤㉦愸㐸㡢㑦㐸㜷㌳㜵捥愷搸㜰㍦㌳㜸㔹挲㙤㔱挴换ㄱ挹搲㌶㈹㈵㕥㝥㜰敢ㄴ慦㈰㠸敥捦㐸昳攲〱敢㥣捦戱攱敡收㜹戸摢愲㠸攷摦挹ㄲ捦扢㤳㈵㥥㙦扢㈵挵昳㙣㜱㐲㡦㌴户昱摣㕢㉡戶㑣㜳㕢㤹慤搸挲敢戶慦愹㤵㘷扤㌲搰㙦㔸ㅡ㐴攰㐰扦挵㠶敢㌶㥥㍢㈶扢攷㌹愳昴搲㉤慤㝢㥥㐷㑡㐵搷戴敥㜹㙥㈹ㄵ〱㙦昷摦㔳敢㘴㠰㜴晦〳㑢㍣㜹㤳敥㝦挴㠶摢晤㙣挳敡㠳ㄸ㥥晦㠸戲㑥㘹摤昳㥣㐸㉡㍡愶㜵捦昳㈴愹昰㝢扢晦㠵㕡㜹㌶㈲摤慦㘳㘹㍥㠱搶晦㡡つ户㝢ㅥ搳㈷慤攷戱扣㈸昳愵㜵捦攳㝢愹㈸㐸敢㝥戱慤挸昷㜶晦〷戵昲挸㕡扡晦㉦㑢㍣愸㤶敥晦挴㠶摢晤㐹㠶搵〷㘴㍣戰㥣㠱㈱收㉥㔱搱晤㘳晢敦扦慥㈸扦戸㘷晥捣㈱㥤捥晢攰愹㡦㤶扦戲敦愰捦㝦扦攰㠲㔷㍥㔹晥捣敦昷搶づ㝡晣㤲㑢ㅥ搹昳愲㘷㍥敡㤶㔸㤵㝢晢扡戱慢づ〹捥㍦攴挰挴戴晥愳づ搹晢㠰㐹挱㠹㕤〷攴攵㜵攸戰㜳昷㈷㝡昴つ㉣㍢昰㑥昵攰㥢㕢㌶㉡㌹㤸愴て昸㐴ㅦ㍢㔵〳㘷㤸ㄱ㌹ち慣㤳㑢挸㈳攴ㄳち〸㍥㐲〷㐲㈱㐰㉤㌷愳㜶ㅣ㤴㕣㌵㍣搲㤴㌳㈲㍦〵㍢〲㍡攷ㄶ慤搸搴㈶挹㐱㈴㑤敡攴ㅤ㡢㍤㤸㜴㍡㜳㉣㕤〸㐵㠴〰愱㉢愱ㅢ愱㍢㘱㌳㠰㤲㈳㑢慡搹ㅣ㈵搷㈴ㅥ㘱㡡㐹㕢㔰㜰㑢〰㑣攲㔱攰㈶㡤㤲ㅣ㔸㜲㉣㍤扣㘳戱〷㤸捥㔶ㅣ㑢㑦㐲㉦挲搶㠴㙤〸摢ㄲ戶㈳ㄴ〳㡡㜸戸戸㐹挷㈹㐷愰ㅣ㘷㙦㜴攷晡捣ㅥ㠹㍡摢㜳㈴㍢㄰晡㄰㜶㈴散㐴搸㤹搰㤷搰て㔰㜴捤愶ㅥ愷ㅣ慡㜲㥣晤搱㥤㍢㑥㝢挸敡っ攰㐸〶ㄲ㜶㈱㤴㄰㜶㈵㤴ㄲ㠲㠴㌲㐰搱㑤㥢㝡㥣㌷愳〳搹㐵㤴愳㍢㜷㥣㍣戶つ㜰昴㈱㡥㈴㑣愸㈰㔴ㄲ慡〸搵㠴㝦㄰㜶㈳散づ攸摣愱攸㡥㑤㍤㕣㌹〶收挰〶愱㐳㜷戸昶㔸搸搹㠳㘳ㄹ㑣ㄸ㐲ㄸ㑡ㄸ㐶愸㈱っ㈷㡣〰ㄴ摤户愹挷㈹〷换ㅣ攷㐸㜴攷㡥搳ㅥ㌴㍢愳㌸㤲搱㠴㌱㠴㍤〹㝢ㄱ挶ㄲ挶ㄱ挶〳㡡㜸〸扣㐹㤷㤳ㅣ㔵㜳㥣ㄳ搰㥤㍢㑥㝢㜴敤㑣攴㐸㈶ㄱ㈶ㄳ愶㄰愶ㄲ愶ㄱ愶ㄳ㘶〰㡡㜸慣扣㐹挷㈹㠷摦ㅣ攷㑣㜴攷㡥昳㘹㜴换㡦㌵㘷㙦㡥㘴ㅦ挲㉣挲扥㠴搹㠴晤〸㜳〸晢〳㡡㜸㔰扤㐹挷㈹挷改ㅣ㔱〴摤戹攳㝣搱㡥戳㤶㈳㠹ㄲ㘲㠴㌸㈱㐱㤸㑢㤸㐷愸〳ㄴ昱攸㝢㤳㡥㔳づ攸㌹捥〳搰㥤㍢捥搷敤㌸攷㜳㈴昵㠴〶㐲㈳愱㠹戰㠰㜰㈰愱ㄹ㔰挴挳昴㑤㍡㑥㌹昲攷㌸㕢搰㥤㍢捥㜷敤㌸㕢㌹㤲㠵㠴㐵㠴挵㠴㈵㠴愵㠴㠳〸〷〳㡡㜸㍣扦㐹挷㈹愷〸ㅣ攷㈱攸捥ㅤ愷㍤㔵㜰づ攵㐸づ㈳ㅣ㑥㔸㐶㌸㠲㜰㈴攱㈸挲搱〰㈵攷つ㔴㜳っ㑡慥ㅡ㥥㍦挸ㄱ挱戱ㄴ㍣づ㠰敦摦捡㘹〰㐵㡦昷㡡昲㜴㐰㐴㑦愰攸㠹㈲㕡昴昵愶戶㕥㡥昴㌹㤶㤳扣㘳戱㐷晣捥挹ㅣ换㈹㠴㔳〹愷ㄱ㑥㈷㥣㐱㔸㑥㌸ㄳ㔰挴攳昷㑤ㅡ㈵㌹㈵攰㌸捦㐲㜷慥㝢敤愹㠱㜳㌶㐷㜲づ㘱〵攱㕣挲㜹㠴昳〹㉢〹ㄷ〰㡡㝥搹搴攳㤴㜳〷㡥昳㐲㜴攷㡥搳㥥㐳㌸晦攴㐸㉥㈲慣㈲㕣㑣戸㠴㜰㈹攱㌲挲攵㠰㈲㥥ㄱ㙣㔲㝦捡㐹〶挷㜹〵扡㜳挷㘹㑦㌶㥣搵ㅣ挹㤵㠴慢〸㔷ㄳ慥㈱㕣㑢戸㡥㜰㍤㈰㤰〳㤰㐹㝢〳愹ㅢ〱㤸摦ち晦挹搹捦㠴㥦㜴㡡挶㌰㜴㔴愸㜰㕡㙥㉢挶㥢ち㝤㘷㈰捦搲攳っ慤敦っ攴㕢㝡慣愱昵㥤㠱〲㑢敦㘵攸㉤愱摤慦㝣㤶摥搳搰㝤㠵敥㘰改㌱㠶敥㈷㜴愱愵㐷ㅢ㕡敥っ〴ㅣ搰㘲捥㕤搸㜰敥〶挰ㅣ扦㤵ㅤ㘱㘴慤㌹ㅤ㙤挵㜰㔳㈱挷㕤昷㠱つ㜴〲㠸愲㌵搸㜰敥〷㐰㔱㘷晣㈷㝥ㄹ㤲愶愸㡢慤ㄸ㙣㉡戴㕦㡡㉣扤㠷愱戵㕦〲㤶ㅥ㘴㘸敤㤷慥㤶摥摤搰摡㉦摤㉣扤㥢愱戵㕦扡㕢晡ㅦ㠶搶㝥搹捣搲搵㠶搶㝥搹ㅣ戴㤸昳〴㌶㥣㈷〱㌰㘷ぢ㉢㕢㘱㘴慤㕦戶戴ㄵ㘱㔳㈱㝥㜹〶㙣愰〷㐰ㄴ㍤㡢つ攷㌹〰ㄴ㙤㠵晦挴㉦挱㌴㐵㍤㙤㐵愹愹搰㝥改㘵改㕤つ慤晤戲戵愵㑢っ慤晤戲㡤愵㜷㌱戴昶换戶㤶ㅥ㘸㘸敤㤷敤㉣㍤挰搰摡㉦挵㤶敥㙦㘸敤㤷摥愰挵㥣搷戱攱扣〱㠰㌹摢㕢搹㥤㡤慣昵换づ戶㘲㈷㔳愱捤改㘳改ㅤつ慤捤搹搱搲㝤っ慤捤搹挹搲㍢ㄸ㕡㥢戳戳愵户㌷戴㌶愷慦愵㝢ㅢ㕡㥢搳捦搲挵㠶搶收昴〷㉤收㝣㠸つ攷㈳〰捣ㄹ㘰㘵户㌱戲搶㥣㠱戶㘲㙢㔳愱捤搹挵搲扤っ慤捤㈹戱㜴㑦㐳㙢㜳㜶戵昴㔶㠶搶收㤴㕡扡㠷愱戵㌹㐱㑢㙦㘹㘸㙤㑥㤹愵户㌰戴㌶愷ㅣ戴㤸昳㌵㌶㥣㙦〰㌰㈷㘴㘵扢ㅢ㔹㙢㑥搸㔶㜴㌳ㄵ摡㥣ち㑢㜷㌵戴㌶愷搲搲〱㐳㙢㜳慡㉣㕤㘴㘸㙤㑥戵愵扢ㄸ㕡㥢昳て㑢㜷㌶戴㌶㘷㌷㑢㜷㌲戴㤸愳㜶户㜴㐷㐳换戲㕡ぢ㌶㌰〸㈰㤶晥㠲つ㘷ㅤ〰㤶敥㠱晦㘴㔹㜵㌰昲搶搲挱戶挲㘷㉡戴愵㐳㉣㕤㘰㘸㙤改㔰㑢攷ㅢ㕡㕢㍡捣搲㜹㠶搶㤶搶㔸㍡搷搰摡搲攱㤶㔶㠶搶㤶㡥戰㜴㡥愱㜵攰㐶㠲ㄶ㜳㔴㈷㤸㤳ぢ㠰㌹愳慣散ㅦ㍦愶㝥慡㡣戶ㄵ扦㥢ち㙤捥ㄸ㑢晦挷搰摡㥣㍤㉤晤㥢愱戵㌹㝢㔹晡㔷㐳㙢㜳挶㕡㝡㥤愱戵㌹攳㉣晤㡢愱戵㌹攳㉤扤搶搰摡㥣〹愰挵㥣㡥㌴愷㤳㌶㘷愲㤵晤搱挸摡攸㑣戲ㄵ㍦㤸ち㙤捥㘴㑢㝦㙦㘸㙤捥ㄴ㑢㝦㘷㘸㙤捥㔴㑢晦摢搰摡㥣㘹㤶晥㤷愱戵㌹搳㉤晤慤愱戵㌹㌳㉣晤㡤愱戵㌹㌳㐱㡢㌹㥢搳㥣㉤戴㌹㝢㕢搹㉦㡤慣㌵㘷ㅦ㕢昱㠵愹搰收捣戲昴攷㠶搶收散㙢改捦っ慤捤㤹㙤改㑦つ慤捤搹捦搲㥦ㄸ㕡㥢㌳挷搲ㅦㅢ㕡㥢戳扦愵㍦㌲戴㌶㈷〲㕡捣搹㡥收ㄴ㙢㜳㙡慤散晢㐶搶㥡ㄳ戵ㄵ敦㤹ち㙤㑥捣搲敦ㅡ㕡㥢ㄳ户昴㍢㠶搶收㈴㉣晤戶愱戵㌹㜳㉤晤㤶愱戵㌹昳㉣晤愶愱戵㌹㜵㤶㝥挳搰摡㥣〳㐰㡢㌹晤㘸㑥㝦㙤捥㝣㉢晢慡㤱戵收搴摢㡡㔷㑣㠵㌶愷挱搲㉦ㅢ㕡㥢搳㘸改㤷っ慤捤㘹戲昴㡢㠶搶收㉣戰昴ぢ㠶搶收ㅣ㘸改攷つ慤捤㘹戶昴㜳㠶搶收戴㠰ㄶ㜳捡㘹㑥㐸㥢搳㙡㘵㥦㌶戲搶㥣㠵戶攲㈹㔳愱捤㔹㘴改㈷つ慤捤㔹㙣改㈷っ慤捤㔹㘲改挷つ慤捤㔹㙡改挷っ慤捤㌹挸搲㡦ㅡ㕡㥢㜳戰愵ㅦ㌱戴㌶攷㄰搰㘲捥㈰㥡戳㠷㌶攷㔰㉢晢愰㤱戵收ㅣ㘶㉢ㅥ㌰ㄵ摡㥣挳㉤㝤扦愱戵㌹换㉣扤挶搰摡㥣㈳㉣㝤㥦愱戵㌹㐷㕡晡㕥㐳㙢㜳㡥戲昴㍤㠶搶收ㅣ㙤改扢つ慤捤㌹〶戴㤸㌳㡡收㡣搶收ㅣ㙢㘵敦㌰戲搶㥣攳㙣挵敤愶㈲㜹㕣㜸扣㔵㌴㤶㡡挶㘹㐵㈷㔸昹㥢搳ㄴ㥤㘸㉢㙥捡㔰㜴㤲㔵㌴㠹㡡㈶㙢㐵㈷㕢昹敢搲ㄴ㥤㘲㉢慥㌵ㄵ摡挱愷㕡晡ㅡ㐳㙢〷㥦㘶改慢つ慤ㅤ㝣扡愵慦㌲戴㜶昰ㄹ㤶扥搲搰摡挱换㉤扤摡搰摡挱㘷㕡晡ち㐳㙢〷㥦〵㕡ㅣ㍣㡢收散慢捤㌹摢捡㕥㙡㘴慤㠳捦戱ㄵ㤷㤸ち㙤捥ち㑢㕦㙣㘸㙤捥戹㤶㕥㘵㘸㙤捥㜹㤶扥挸搰摡㥣昳㉤晤㑦㐳㙢㜳㔶㕡晡㐲㐳㙢㜳㉥戰昴〵㠶搶收㕣〸㕡捣㠹搳㥣㠴㌶攷㥦㔶昶㍣㈳㙢捤戹挸㔶㥣㙢㉡戴㌹慢㉣扤挲搰摡㥣㡢㉤㝤㡥愱戵㌹㤷㔸晡㙣㐳㙢㜳㉥戵昴㔹㠶搶收㕣㘶改㌳つ慤捤戹摣搲换つ慤捤戹〲戴㤸搳㐴㜳ㄶ㘸㜳㔶㕢搹搳㡣慣㌵攷㑡㕢㜱慡愹搰收㕣㘵改㔳っ慤捤戹摡搲㈷ㅢ㕡㥢㜳㡤愵㑦㌲戴㌶攷㕡㑢㥦㘸㘸㙤捥㜵㤶㍥挱搰摡㥣敢㉤㝤扣愱挵㥣㠲ㅢ㐰昷㘹晢攱㔸挹摦搲㉡挴㌹戴搳㌰愵㌵搲捡㕦搵昲㌷昰改㑤昲愸ㅦ㕦挳㤴㜹㑤㡢ㅢ扢攲㌹㕣捤㤱㘸敢〰㔷愶㥢换戸戲㕤㕣㑡摡㙣㔵搳搴戰㈰搲ㅣ愹慤㡦㔳㘴㐰㔲改收改㌵㈲て扦搳昵㌹摢户㍤㘰㍢㐰㍥㕦慢㔰㙤戰㘰愱㘲〳㘷㈹挲挹㤷㑡㙥㐹㔱摤〸㌷搱㔵捥㐱㤰攰ㄸ㔴㜲㑢㡡敡㉥㉢㜱戰慢挳摤搲㍡敥戶ㄲ㠷戸㍡摣㉤慤攳㍥㐸挸敤攰㐳㈱愱搶㔸昹挳㕣㡤敥㤶搶㜸扦㤵㌸摣搵攸㙥㘹㡤㑦㔸㠹㘵慥づ㜷㑢敢㜸搲㑡ㅣ攱敡㜰户戴㡥㘷㈰㈱愳㍡ㄲㄲ敡㔹㉢㝦㤴慢搱摤搲ㅡ㥦戳ㄲ㐷扢ㅡ摤㉤慤昱㜵㉢㜱㡣慢挳摤搲㍡摥戰ㄲ挷扡㍡摣㉤慤攳㐳㉢㜱㥣慢挳摤搲㍡㍥戲ㄲ挷扢㍡摣㉤慤攳㙢㉢㜱㠲慢挳摤搲㍡扥戱ㄲ㈷扡㍡摣㉤慤㠳攷㘲攲㥤㤳㈰愱㝥戱昲㈷扢ㅡ摤㉤慤㜱㥤㤵㌸挵搵攸㙥㘹㡤㍣〱㤲戹㜶慡慢挳摤搲㍡㜸㜶㈴ㄲ愷戹㍡摣㉤慤㠳㘷ㅤ㈲㜱扡慢挳摤搲㍡㜸㑡㈲ㄲ㘷戸㍡摣㉤慤㠳㠷晡㈲戱摣搵攱㙥㘹ㅤ㍣て㄰㠹㌳㕤ㅤ敥㤶搶挱攳㙢㤱㌸换搵攱㙥㘹ㅤ㍣昸ㄶ㠹戳㕤ㅤ敥㤶搶挱㠳㕡㤱㌸挷搵攱㙥㘹ㅤ㍣攲ㄵ㠹ㄵ慥づ㜷㑢敢攰㤱愴㐸㥣敢敡㜰户戴づㅥ㘶㡡挴㜹慥づ㜷㑢敢攰攱㥢㐸㥣敦敡㜰户戴づㅥ摢㠹挴㑡㔷㠷扢愵㜵昰㤸㐹㈴㉥㜰㜵戸㕢㕡〷て愸㐴攲㐲㔷㠷扢愵㜵昰㜰㐹㈴晥改敡㜰户戴づㅥ㑢㠹挴㐵慥づ㜷㑢敢攰㤱㤲㐸慣㜲㜵戸㕢㕡〷て愳㐴攲㘲㔷㠷扢愵㜵捣戲ㄲ㤷戸㍡摣㉤慤㘳㕦㉢㜱愹慢挳摤搲㍡㜸㑣㈰扤㕣收敡㜰户戴づㅥ㌰㠸挴攵慥づ㜷㑢敢攰〷戱㐸㕣攱敡㜰户戴づ㝥㑡㡢挴㙡㔷㠷扢㈵㍡ち戸攳摦㠰てぢ摥㝡晦㡢㐹摡㔷愲〷挵㑦て㜶攵㕣挵ㄲ㍦ㅦ愴㜴㌵㑢晣㉣㤰搲㌵㉣挹㈷〰㝡㜳慥㐵㠹㉦㜶慤戸晦ㄷ㤹敢㈸挳㝤扤㤴慥㘷㠹晢㜵㈹摤挰ㄲ昷攱㔲扡㤱㈵搹㜳㐳㠱㜳ㄳ㑡㝣㠹㌶敥户㐵收㘶捡㜰ㅦ㉤愵㕢㔸攲晥㔸㑡户戲挴㝤慦㤴㙥㘳㠹晢㔹㈹摤捥ㄲ昷愹㔲扡㠳㈵敥㍦愵㜴㈷㑢摣㔷㑡改㉥㤶㘴て㠹捥摤㥦㝣捥攵㐸戸㝦ㄴ㤹㝢㈸挳㝤愱㤴敥㘵㠹晢㍤㈹摤挷ㄲ昷㜱㔲㕡挳ㄲ昷㘷㔲扡㥦㈵敥扢愴昴〰㑢摣㑦㐹改㐱㤶戸㑦㤲搲㐳㉣㜱晦㈳愵㠷㔹攲扥㐶㑡㡦戰挴晤㡡㤴ㅥ㘵㠹晢㄰㈹㍤挶ㄲ昷ㄷ㔲㝡㥣愵昳㙣改〹㤶戸ㅦ㤰扡㈷㔹攲㥡㤷搲㔳㉣㜱㝤㑢改㘹㤶戸㤶愵昴っ㑢㕣户㔲㝡㤶㈵慥㔱㈹㍤挷ㄲ搷愳㤴㥥㘷㠹㙢㑦㑡㉦戰挴㜵㈶愵ㄷ㔹攲㥡㤲搲㑢㉣㜱晤㐸改㘵㤶戸㔶愴昴ち㑢㕣ㄷ㔲㝡㤵㈵慥〱㈹扤挶㤲㑣㔰㙦㜴戰㥤愳㘴愲㤲㝤㠳㌲㘴昸㤶〹㑢昶㑤戰昶愵㘴攲㤲㝤换㈳ㅢ㜰㈷戰捣㔹㔶㉦攳㥡㌳㉦㈵㜳ㄷ〵攷ㅤ㑦㈳㈵㜳㤸㙣㡡慣捣㘵戲敦㜹㘴〳敥㥣㤶㘹㥣搱㐸愶㌳搹て㍣㡤㤴㑣敢っ㔹㤹摥㘴㍦昲捡捡㌴捦㤰㤵改㑥昶ㄳ慦慣㑣晢っ搹扢㡣㠸昳㤹㔷㔶㈶㝣㠶慣㑣㝣戲㕦㜸㘵㘵〱㘴挸捡㐲㈰晢㤵㔷㔶ㄶ㐴㠶慣㉣っ戲摦㜸㘵㘵㠱㘴挸捡㐲㈱晢㉦慦慣㉣㤸っ㔹㔹㌸㘴扦昳捡捡〲捡㤰㤵㠵㐴昶〷慦慣㉣愸っ㔹㔹㔸㘴㝦昲捡捡〲换㤰㤵㠵㐶㜶慤㔷㔶ㄶ㕣㠶慣㉣㍣戲敢扣戲戲〰㌳㘴㘵㈱㤲晤捤㉢㉢ぢ㌲㐳㔶ㄶ㈶搹摦扤戲戲㐰㌳㘴㘵愱㤲晤慦㔷㔶ㄶ㙣㠶慣㉣㕣戲㌹㥤㍤㉢㔰ㄶ㜰㠶慣㉣㘴戲戹ㅥ搹〰㤷㉥㤷㥣㤳〷ㄶ扦昲㙤ㄷ㙤㠰敢㔴㉡昲㜵〵㤷愰㤴ぢ㜴㤹换㑣捡㍥㕤收ち㤲㜲〷㕤收㉡㤱㜲愱㉥㜳㈵㐸搹搱㘵捥㜶㈹晢㜵㤹㌳㕡捡ㅤ㜵㤹戳㔶捡㥤㜴㤹㌳㔳捡㥤㜵㤹戳㑦捡㕤㜴㤹㌳㑣捡㐵扡捣㔹㈴攵㠰㉥㜳愶㐸戹慢㉥㜳㌶㐸戹㥢㉥㌳攲㔲敥慥换㡣慡㤴㌷搳㘵㐶㑥捡㥢敢㌲愳㈳攵㉤㜴㤹ㄱ㤰昲㤶扡㑣㉦㑢戹㠷㤴ぢ攸摦㜶扥昰㌵㌱摥ㅣ㡤㌷戶搶搵挷㜹㤶㡡扢晤㌹㥤ㅢ㙡ㄶ戶戴㌶改ㄳ改㤶〲㌹㜵捥㍣戵敥㐶昱〱㈹愲㝥㑤ㄱ㡢昴愶㝢㡥摤搱㔴昱愴㝣㘳㑦戰㍢挰ㅡ扥昱扤昹㙤摢㍦挷搶攷搷ㅢ㈶㘵㑥慥户㠲㜷晣昲昱攱㈴㌷愵慣㌸晦攸㍣愷㘷㔲㈶戹愹㘵㌸㈷㐵㈶搹㌸㐳て攷愹挸㙣㥤搴㤳摣搴㝡㌸㜷搷愷㠷昳㜹㝤㌲㥣攳敢㤳攱扣㕦㥦っ搷挲晡㘴戸㍥搶㈷挳㌵戳㍥ㄹ慥愳昵挹㜰㙤慤㑦㠶敢㙤㝤㌲㕣㠳敢㤳攱扡㕣㥦っ搷慡挸㈴〳改㈴㌷㜵㑣戹㝥搷㈷挳㌵扤扥扥戸捥搷㈷挳戵扦㍥ㄹ敥て搶㈳㔳挴㘹㉣㉢慤㠸㌳㕤㙦搱㉥搹敡昸㝦〰换㥥扦㘸</t>
  </si>
  <si>
    <t>㜸〱散㝤㜷㝣㔴挵晡㝥㈶㘵攱㉣㈵慢㠸㠰㡤㈰㈸㈰㠸改㐵㐱㈰愱ㄷ㐱慡搸攲㘶戳ぢ㤱ㄴ㑣〲㠲つ挱挲ㄵㄵㄵ散㔸㔱㐴㐵挵摥㤵㈰㈸㉡昶㕥ㄱ搰敢昵㙢敦扤晣㥥攷㥤㤹捤搹摤戳戹昹晡扢㝣㝥昷㡦ㅦ㘴㥦㥣㜹收㥤㜷收㝤㥦㜳捥敥㌹㘷㘶㤳愲㔲㔲㔲晥挲㍦晥收扦㜴㙥散㌵㜹㐱㐳㘳戸㘶㐰㔹㕤㜵㜵㌸搴㔸㔵㔷摢㌰㘰㘸㝤㝤㜰挱戸慡㠶挶㌴ㄸ昸捡慢㔰摦㤰㔱摥㔰㜵㔲戸㙤昹扣㜰㝤〳㡣㌲㔲㔲摡戶㜵㔲㔱摦捤扣〲戶攰戰㤵㤳㑥㠰㔵㡡攳㈳戴㈱戴㈵㌸〴㍦愱ㅤ愱㍤愱〳愱㈳㈱㤳㄰㈰散㐲搸㤵搰㠹戰ㅢ愱㌳㘱㜷㐲ㄷ㐲㔷〲晢㜷昶㈰散〹㘸扦ㄷ㘰㑡㔹改㠴㡡攳ㄱ捤攴挶扡晡㜰晦慣㘹㝡捣㠳㜲㜲〶攴っ挸㉦挸挹ㅤ㤰摤㍦慢㙣㙥㜵攳摣晡昰愰摡昰摣挶晡㘰㜵晦慣㠹㜳㉢慡慢㐲㘳挳ぢ愶搴捤づ搷づち㔷㘴攷㔵〴昳㡢㜳昲ぢち㈲㈵㈵挵敤昷㠶攷挳捡㑡㈷搶㠷㈳つ晦㈹㥦晢搰攷㠴戲搲〱㠷㠵ㅢ晦㔳㍥扢挳㈷㕣づ慢慢〹㔶搵晥㠷㥣㘶㔰搳扣㘱攱㔰ㄵ挵て㠷敢慢㙡㘷づ挰戰㘳ㄲ㡤㔲搱㠰ㄱ挸㜸㈸搸搰㔸ㄶ慥慥㥥ㄴ㡥㔰昷昶㌵捣㔹戸㍥㕣ㅢち㌷㜴慣ㄹ㍥㍦ㄴ慥㌶搵つ㙤㙢愶〵敢てぢ搶㠴搳戹㤱㔹愳㜵ㅢ㕤ㄹ慥㙤慣㙡㕣搰愱㘶㙡㐳㜸㔲戰㜶㘶㤸㈶ㄹ㌵㈳攷㔶㔵愶愷慢昴昴㤴戴摥㕥㠳ㄱ㙤〶㡣愸て㤵捤ち搶㌷㑡㠹慡攵㜸搹扡昶㄰ㄹ㜸捣戰戸ㄷ㘵挵戵愲㑣㤳慢㙡挶㠶敢㙢挳搵散㠴攲昵㡢㌳㤲㥣攸搴㐷㤳㘳愳愱㌰慡㥤㌹摥ㄸち㝢㜱戲〸㍤〰扥㝤〱改㠳㈶攵ㄴ㌹㍤挹昵〲愸昴㜷㜱挰扡摢昰愰㐹㉤て愶㤶㔷愴㤶㠷㔲换㉢㔳换挳愹攵㤱搴昲㤹愹攵戳㔲换慢㔲换㡦㑦㉤㥦つㅢ晢慦㙤㥢㌶愹收摦㉢㜳晤㘳户摥戳㜴搸昲㠳挷㥤昹昶ㅥ㤳㈷㉢ㅥ愳㜲戰敥㡦つ愷㌷挰搷〷㤰㌱㘸攸㔰っ愲㉦挹〳〰㑡扤㡥㐱㜰㈰〵㝦㉥㕦㜱挳㔳扦㑥㔸晢昲戱㡤摦摦户攸㜲挵〳㕣㍣昴愷昱㠱〰摦〰〰㍣っ㠷㠷㠳㐸㘶〳㤴㝡搱㜸㌸昹挸㠵㕢㥥挹扢㙤挴㡡搱㠳ㅦ戹㝣攱㝤敢ㄴ捦づ攲㈱㤷挶㜹〰㕦㍥〰ㅥ捡攰愱㠰㘴㈱㐰愹㘷㡣㠷摡攷摦㔸㝡㘷摡㙢愵㤷㝥昶攰愹户㍦㕣㍥㑦㜱ㄷㄳて挵㌴㉥〱昸づ〶愴て㥡〸〷㠷㤰ㅢ〸㔰㙡愳㜱戰晦㡥㑥㥦㝤昴慦搳㈶慣改搲昸愳扡昷慤㤳ㄵ㑦㑢攲攰㔰ㅡて〶昸㠶〰搲〷ㅤ〱〷㐳挹㤵〲㤴㝡捣㌸昸昱攰捦㘷㍥扣敤㠱搲㝢敦㍤愰㘰㐷昵扥搷㉡㥥搲挴挱㌰ㅡて〷昸㐶〰㄰挳㌰㜸ㄸ㐹㜲ㄴ㐰愹〷㡣㠷㍦㤷㥥戹晢㈱昹㘳㠷㕦㝣捣攴攷㠷昵㉥昹㐳昱㝣㈸ㅥ挶搰㜸㉣挰㌷づ㤰㍥㘸〲ㅣ㡣㈷㜷ㄸ㐰愹扢㡣㠳㑢㥦摥昱㜱扦㠱愳㑢ㅦ㉤扤㜸㝤晤㉦昷摦愰戸㕢㠸㠳㠹㌴㍥ㅣ攰㥢〴挰㄰㐶挲挳㘴㤲㔳〰㑡慤㌵ㅥ㘶㥥㍢㜰摢搰挱ㅦ㡤扤昰挱摣㠷㌲㤷㉤扤㔵昱㐴㉣ㅥ愶搱㜸㍡挰㜷〴㈰㝤搰㘱㜰㌰㠳摣㤱〰愵㔶ㅢ〷ㄷ慦㕡㍣㜵㜶敥㡦挳慦扡晢捡搷㕦搹戱㙡㠵攲㐹㕣ㅣㅣ㑤攳㘳〰扥㘳〱摣ㄷ昲㜳㥣㜲㤲挷〱㤴扡搶㜸㤸晡晣㡤敦ㅥ㜱挶戴㤱㡢㑦㙢㜳晤搶慦㜲扢㉢扥〳㠸㠷ちㅡ㠷〰扥㑡〰㍣㤴㘲っ㘱㤲ㄱ㠰㔲㔷ㄸて摤㉥㕥昱捡挴㈵挵愵敢昶摡扡愰㝥敢捡ㄵ㡡㙦ㅦ攲㘱ㄶ㡤慢〰扥攳〱改㠳愶挲〱てぢ愷ㅡ愰搴ち攳㘰搸㝤ㅢ昷ㅡ㌵晥㠶搲换ㄶ扤戰㙢敡晢扥晥㡡㙦㍤攲愰㤶挶㜵〰摦ㅣ㐰晡愰戱昹㠵捥〹攴敡〱㑡㥤㙦ㅣ㕣㕡㔷晥捤昵晢㜴㥦㜰㔹挶㔵〳ㅦ慢散㝣扢攲摢㤶㌸㘸愴昱㕣㠰㙦ㅥ〰㌱㡣挰㄰㑥㈴㌹ㅦ愰搴ㄲ攳㘱昵㜹㘷㡤㕦搲愷㑢改捡㑦㜶挹㉡戹㝥攵㙣挵昷㍣昱㜰ㄲ㡤㑦〶昸㑥〱愴て㥡〲〷愷㤲㍢つ愰搴㈲ㅢ挳搶㉦慦㉣扢㜹晢㤰㉢ち㌳扢扥㌸扤晣〳挵昷㑢㜱㜰㍡㡤ㄷ〱㝣㡢〱ㄹ搳㠶ㅥ㤶ㄵ㜶捥㈰㜹㈶㐰愹㤳㡤㠷户捡㕦つ扤戵㝣㐹改㡡㐳㙥改戶㝤挶晡愷ㄵ摦㙣挵挳搹㌴㕥〲昰晤〳㤰㍥㘸㌲㠶㜰づ戹愵〰愵收ㅡ〷晦慣㙦户散昶愵扦㤴㉤㕢㝢敥愹㑢扡昴㝣㌳㠳㙦搴〵㕥愷挶昸戳敥搰㠶㠶戹㌵㜳昸戱挳扣㈳昰㘰㜴㙡㠶㌵㌴㑥っ搶搷㌴晣㘷摦㍡昰挶昱敦摥㍢㠶㌶搴散晣昷づ㜴昲ㅦ㜹敦昰㥤㠷㘴ㄵ㑦愹慦挲㍢攴摣敡㘰㝤晦昱㔵戵㠳ちち㑢㑡㜲昳ぢ戳晢㡦慢㥡ㅤ慥慥ち㌷㌴づ挲㘷㤸㥣愲攲散散晥攳㠳昳〷攵㘴ㄷㄴ攷攷攵攴㘷㍢攷㌳搵换〰扥ぢ〰㘹㠳挶ㄵ㌹ㄷ㤲扡〸愰㔴慤搱昶换㌵㙢摥ぢ㝣晡摤攸敢戶ㄴ㥤㌱㝤㥦扢晥愵昸昹㑢㜶㡥ㄵ㌴扥ㄸ攰扢〴㤰㍥㘸㍡㜶㡥㑢挹㕤〶㔰㙡㤶㜱㜰攴㔹㠷㡣㥢㜴收攴ㄱ慢ㅥ㙢慡晥㌸搲㘷慤攲㘷㌷㜱㜰〵㡤慦〴昸㔶〲㜸慥挲㠹攲㉡㤲㔷〳㤴慡㌰ㅥ摥扦㜵㜹敦㐵晥捤㘳㤶愷扦摡ㄴ㔸摡㌰㕤昱㠳㥦㜸戸㤶挶搷〱㝣搷〳搲〷㑤挳㄰㔶㤱扢〱愰搴搱挶㐱㘹搹扢攷慤扣攳㥤挳ㅥㄹ㕥㜸搲ㄳ㈷㝣㜲戴攲㠷㐶㜱戰㥡挶㌷〱㝣㙢〰改㠳㡥㠴㠳㥢挹摤〲㔰㙡㥡㜱㔰摢攱户愱㉢㘶昸挷㕥戱㝦㝥㜵敦挶搱㘵㙡て㔴㡢㠳戵㌴扥つ攰扢ㅤ㤰㍥攸㜰㌸戸㠳摣㍡㠰㔲ㄳ㡤㠳戶㕦慦㉥㕢㜹昰㤲愱㙢扥㥤㔷户摦ㅦ㔷扣慥昸㘱㔵ㅣ摣㐵攳扢〱扥㝢〰改㠳㘶挰挱扤攴敥〳㈸㌵挶㌸搸㌶昸搶㈵捥愷搵㐳捥昸昹攰㤷㈲㡢㍦㕦摤晥〱㔴ㅦ㙥㍥㑣っ慢て㥥㠸㑦㘴捤ㅦ昶昰〹㤷晦晦晤愷㕣㝣挸㡤ㄴ㐴㡡㈲㌹㌹㤵〵搹挱扣㘰㐶ㄶ摣戶昶戳ㄵ㑦ㄳ敤㈳搳慢㙡㉢敢㑥㤴て㕢敤㈳㈳慡慡ㅢ挳昵㔲挸㡣攰㤷晥挰㈸攵づ㤱攱昳昱㐹㍢愴㍦㤷敤ㄶ㈹ぢ搷㌷攲ㄳ㙡攳㠲收〳㙥慦搲㘰㐳戸戹搸捦昸㉥慤㥢㕢㕢搹戰愷㜷攵攴挶㘰㘳㜸㡦昸扡㘶㈷〹捤㈶攳搳㙢戸㐱㠶戴㑦㝣戳㘹挱敡戹攱愱昳慢㜴昵摥㜱搵昸ㅣ㕢㔷㤱扣㜶㐴㝤昸㠴㘸㙤挲㠸㠶攲攲㙡㥥昸㑥㠸㔲㔷改㜱㘵㤵捤慡㙢〸搷捡昰晡搵㑣慣ち捤づ搷㑦づ昳搲㉣㕣㈹愱㜶㘶㤵昹㌰摤㙦㐲㉤〲挵挷攳捡㝤摤㉣ㄳㅤ慥慤っ㔷㘲扣㜳㤰攵〵㔳㠲ㄵ搵攱摤㘳㑣㜴㥦愸攸ㄶ㐳㡦愸ぢ捤㙤㈸慢慢㙤慣慦慢㡥慤ㄹ㕡㌹㉦㠸て昰㤵攳敢㉡挳改昲㉦㐵愳㑡㐹㑢㔳㉡愵㡦搷改㥥扥ㅢ昸㔹搹戵㤳昰ㄳ㜹换挶慥㥤㠸挶㥥㥦戱愳㥥戱攱摡挹㘸摦户挵㤱戸㜷㐲㕡㘷户㘸敤戱㤳戲㔱搷搸〳㙦挰㈴攸〳ㅤ慡挳㍣㉡㔳㝢㈵㜷搹扣㕦晥㥢㤱扡㔴攱㤵㌸慤㕢㐸㥡戸㡤敥㝢㍢搷㌸㌵戵㤳㠹㝥昸㍣㕣愶㡤ち搶㔶㔶㠷敢㕢扣㡦愰㌸㈲攷㐱挲㐳㠴㠷〹㡦㄰ㅥ〵㘴㤴攱ㅣ㤷㌴愳改戰㔰昳搵㠲㡣ㄳ慢㉡ㅢ㘷昹㘶㠵慢㘶捥㙡〴㠷晢て㙤摢㌲摤㠷㤹搷愶搴㤴㤴㡦ㄴ㡣㥤挷挱㌸敢〹㑤〰扦㍦挵户〱扦㔳㝣㝥攷〹晥摡〸攸㍣つ㐳て搶〶戳㉡挳㔹㜳敡挳昳㜰㕤扢昱㥥㕡扦捡攸㠱捡晦晤昵㈲扡挶愷ㄶ㕥搳攱晥㐱㐳㐶つ慥㠲ㅢ搲搲扣㜲㌲㉡搸㌰慢㤱㠷㘳换㤵昴户㠹昰㈴愰晤㔳㠰挳㐶㠵慢㜱㌰晦愷㙥㍤㘴昴㠴捦㝦㝢㠹换捦愲扢搷㑣㕥㔰ㅢ㥡㔵㕦㔷㡢ㅢ㐰挳㠲㡤挱愱㈱㕣挷㌷愸愰慦㘶㕣㕤搹摣㐶㕦捤愸㉡晣㙡㕦㌳㈹㍣㈷ㅣ㙣㉣挳挹扡戱㐳捤㌸摣〳㤰戳改攸捡昹ㄹ㌵晡昲㝤㔸戸㈱攴昰㍡㝦㌴㑥㑥昳㝤搸挲搹戶㝤つ㑦㌷攱昹㡤㜴摤愶〶ㅦ晢愰㡣〳愳㝥搲㑡㙦戱㘵〷攱㙣㙢扦㈹挱㐳㐰㌶㕤㕥摡〹愱㍤愵㜰晦挱晢㈸摥㙤搳つ挶ㅦ㐷㔳ㅢ慢慡ㅢ〶㤸昴づㄸ㔶㠷晢㐰㘱戹〵挶戴晢㝣搸捤㝣㉤㡡ㄵ㝦戸昳㐶挱㠴㔰㠵㜶㡢愱㡣慣慦㥢㍢㠷ㅦ昸晥㔳㝥攸㉢挵搹っ戸昶㥢㕢て搹敦敡㜵㝦㤹摦ぢ㜱㈰挹㍦㘷㕦㕡㜰慦㘷ㄱ扦攴㥦昳㉣㝥昹㕢慡换攸〵ぢ捦昳㙤㤲㝢ㅡㄹ戰㙦㕦㠳㘸愷搴㠷攵㈶㑤㕢㈹㉣㤸ㄳ敥㔰㌳扤慥㝥㜶㐵㕤摤㙣㡡摦㔱㑡つ戳挲攱㐶ㅥ㈵敤捣㡤ㅥ㙥㉢愵搲搲㘲㙥㜱戸㙥㤱㜴㠷㝦摦ぢ㠰挰㤴扡捡扡㠶慣㙡扥慡㉡敡敢ㅡ㝣㉦㠲㑤挳㕢㡢敦㈵㙣㜴挷㥤ㄹ㝣〴づ昱㈸捥㠲昲㈷捣つ㘷つ摦㜸て㙥攸搵つ㤸㕦摤㌰㕦ㅤ㠴㍣昰ㄶ㐶改愶㜵㝦愹慥敦㡣㝢㝣收昰㘷㝡㉥㙡㝣㕤つ㌰ㄵ〹㜷㐷昶㠷摢㉣扣㥣㔷〹慦ㄱ㕥㈷扣㐱㜸ㄳ愰晡愰㈹捦㕤晣挸捡㔷昳ㄹ攸㙤摡扣㐳㜸ㄷ㠰㌳㤰㘸㠱ㄳ搰晢攴㜸〲昲㉢搵ㅢ扦㜸扡㜱㍥㈰㙣〳愸扥〰ㅥ㤸㈹捥㜶㐰㔲㜵晢搰㈲㐱摤㡦挰晡㥤ㄶ敡搴〱戰愰挲づ㌳敡㌰㠱づ㤳愷㍡㥢ㅣ㈴㈴㘷㌷㔳㤱㜰攳愷㍦㥡㘵戱晤ㄷ㠴㉦〹㕦ㄱ扥㈶㝣〳㔰ㅤ㑤㜲㘶愱挰㔷㜳㜲扥愳捤昷㠴ㅦ〰慥攴晣㐴捥㈴攷㐰㙣㑢㜲㝥㈱昹㉢㐰ㅤ〴搰挹昹つ㕢㐹㤳㌳㠰つㄲ㤲昳㈷㔸扦搳㐲㥤捡㠶㠵㔷㜲㝥晢㌳挹㥥昳慢愹㐸戸愷㤵ぢ㑦㔹㜸㌹㙤ㄴ愰㉤挱㈱昸〹敤〰敡㝢㌴攵㥥㤳て㉢扥㥡㤳搳㠱㌶ㅤ〹㤹〰㔷㜲㜶㈱㘷㤲㤳㠷㈶㍤搸㐱㈷㤲扢〱㔴〱㡡㍡㌹㥤㔱㑣㥡ㅣ㜶㤶㤸㥣慥㘸攲㜷㕡愸㔳㠵㘸攷㤵㥣敤挹㤲戳捤㔴㈴摣慥㉢㠶愷㉣㡥愲〷㍡㜵昶㈵昴㈴昴㈲散〷㔰敦㤸攴昰ㅡ㡢慦收攴昴愶㑤ㅦ㐲㕦㠰㉢㌹晤挸㤹攴㤴愰㐹て㜶㜰㈰挹〱〰㜵〸㡡㍡㌹〷愱㤸㌴㌹〷戳搵〶〰㤴㘹㍥㘹收愲㠹摦㘹愱㑥つ㐴ㄳ慦攴㙣㑥㤶㥣愷㑣挵晥昱户㈲て㠵愷㉣扣㥣㐳搰愹㌳㤰㌰㠸㜰㈸㘱㌰㐰㌵㤹攴ㅣ〶㉢扥㥡㤳㌳㤴㌶愵㠴㌲㠰㉢㌹挳挹㤹攴っ㐶㤳ㅥ散㘰㈴挹㔱〰㌵ㄴ㐵㥤㥣搱㈸㈶㑤捥㄰戶摡〰㠸㐹捥㌸㌴昱㍢㉤搴愹㔲㌴昱㑡捥敤挹㤲㜳㥢愹㐸戸捤㍡っ㥥戲昰㜲愶愲㔳㘷ㅡ㘱㍡攱〸挲っ㠰扡㈹㘹㜲㡥愲捤搱㠴㘳〰慥攴㤴㤳㌳挹ㄹづ攷㍤搸㐱㤰㘴〵㐰㡤㐴㔱㈷㈷㠴㘲搲攴㡣㘰慢つ㠰㤸攴㐴搰挴敦戴㔰愷㐶愱㠹㔷㜲㔶㈴㑢捥㜲㔳㤱㜰〷㜹っ㍣㘵攱攵搴愱㔳㘷づ攱〴㐲㍤愱〱愰捥㌳挹㐹㝣户㥡㑢㥢㜹㠴ㄳ〱慥攴㉣㈰㘷㤲㌳ㄶ捥㝢戰㠳㤳㐹㥥〲㔰攳㔱搴挹㌹ㄵ挵愴挹ㄹ挷㔶ㅢ〰㌱挹㌹ㅤ㑤晣㑥ぢ㜵㡡扢户㔷㜲ㄶ㈴㑢捥㝣㔳㤱㜰㜷㝣㈲㍣㘵攱攵㥣㠳㑥㥤愵㠴㜳〹攷ㄱ捥〷愸晡愴挹戹㠰㌶ㄷㄲ㉥〲戸㤲戳㠲㥣㐹捥攱㜰摥㠳ㅤ㕣㐲昲㔲㠰㥡㡣愲㑥捥㘵㈸㈶㑤捥㈴戶摡〰㠸㐹捥㤵㘸攲㜷㕡愸㔳㔳搰挴㉢㌹攵挹㤲㜳慣愹㐸戸昱㍦つ㥥戲昰㜲㙥㐰愷捥㡤㠴搵㠴㥢〸㙢〰敡〸㤳㥣挵戰攲慢昹㥣㜳ぢ㙤㙥㈵慣〵戸㤲㜳㍢㌹㤳㥣改㘸搲㠳ㅤ慣㈳㜹㈷㐰捤㐰㔱㈷攷㉥ㄴ㤳㈶攷〸戶摡〰㠸㐹捥扤㘸攲㜷㕡愸㔳㐷愲㠹㔷㜲㠶㈷㑢捥㌰㔳㤱昰㔰攳㘸㜸捡挲换㜹っ㥤㍡㡦ㄳ搶ㄳ㥡〸ㅢ〰敡㔰㤳㥣挴捦㌹ㅢ㘹戳㠹昰㈴挰㤵㥣捤㈸晡㥥〶㈴戹ち㑤㔱挷愰换ㅥ散昶ㄹ㔸㌹捦〲㔴㌹㡡㍡㘵㕢㔰㑣㥡戲㘳搹㙡〳㈰㈶㘵㉦愰㠹摦㘹愱㑥ㅤ㠷㈶㕥㈹敢㤷㉣㘵〷㤸㡡㠴愷㌸ㄵ昰㤴㠵㤷昳㈶㍡㜵摥㈲扣㑤㜸㠷昰㉥㐰昵㌲㈹攳㥢㍢㕦捤晢搳晢戴搹㑡昸〰攰㑡搹㜶㜲㘶㝦ち愱㐹て㜶昰㈱挹㡦〰㉡㡣愲㑥捥㍦㔱㑣㥡㥣㑡戶摡〰㠸㐹捥㈷㘸攲㜷㕡愸㔳ㄱ㌴昱㑡捥㉥挹㤲ㄳ㌰ㄵ〹て愸戸㤷㘴攱攵㝣㠳㑥㥤㙦〹摦ㄱ扥㈷晣〰㔰㝥㤳㥣挴搳昴㑦戴昹㤹昰ぢ挰㤵㥣摦挸㤹攴昰㤹㔷て㜶昰〷挹㍦〱㡡捦扤㜴㜲晥㐲㌱㘹㜲㡥㘷慢つ㠰㤸攴愴愶㌲㌹㉤搴愹㙡㌴昱㑡捥㑦㝦㈴昹摣晣愳愹㐸㜸昸㔶ぢ㑦㔹㜸㌹敤搰愹搳㥥搰㠱搰㤱㤰〹㔰㕦愳㈹㍦㌷㈷ㅥ㙣扢搰㘶㔷㐲㈷㠰㉢㌹㥤㔱昴敤づ〸㑣愹㥡㔳挷晢㍤㌳敢㌷㕥ㅦ挱㠵㈱㉥挱敡搰㕢て昶搸㠵㉤扢〲搴〹㈸敡㙣㜵㐳㌱㘹戶收戰㔵㐲戶昶㐲ㄳ扦搳㐲㥤慡㐷㍢慦㙣扤㥦㉣㕢敦㤹㡡㠴㈷㡤㡤昰㤴挵㔱散挷戱敦㑦攸㑤攸㐳攸ぢ㔰㙦㤸㙣㉤㠶ㄵ㕦捤挷㔹㍦摡昴㈷ㅣ〸㜰㘵敢㈰㜲㘶㔷㥡㡢㈶㤲㥣ㅣ㤲戹〰㜵㈲㈸㥤㥣㍣ㄴ㤳㈶㘷ㅥ捣ㄲ㤳㔳㠸㈶㝥愷㠵㍡㌵ㅦ敤扣㤲戳㌱㔹㜲㥥㌰ㄵ〹て㔱㑦㠲愷㉣㡥㘲㌰挷㍥㠴㌰㤴㔰㑡㈸〳愸㐷㤳㈶㘷㌸㙤㐶㄰㐶〲㕣挹ㄹ㑤捥㈴攷㘴㌸㤷攴㡣㈵㌹づ愰㑥〵愵㤳㌳ㅥ挵愴挹㌹㠵挳摡〰㠸㌹捥㈶愲㠹摦㘹愱㑥㥤㠶㈶㕥挹戹㈵㔹㜲㙥㌶ㄵ挳攲ㅦ㄰㥦づ㑦㔹㜸㌹㌳㌸昶㈳〹㐷ㄱ㡥㈶ㅣ〳㔰慢㑣㜲ㅥ㔶㝡㠲ㄷ昷㥣㥢戱慤㥣㜲摡ㅣ㐷〸〲㕣挹〹愱攸慢〴㜸ㅤ㘷㡢搰㕢て昶ㄸ㘶换〸㐰㥤㠱愲捥搶㑣ㄴ㤳㘶㙢㌱㕢㙤〰挴㘴敢㜸㌴昱㍢㉤搴愹㌳搱挴㉢㕢ㄷ㈴换搶㌲㔳㤱昰㌰晣㙣㜸捡挲换㘹㐰愷㑥㈳㘱㉥㘱ㅥ攱㐴㠰晡㠷挹㔶攲㔹㘹〱㙤㑥㈲㥣っ㜰㘵敢㔴㜲㘶㔷㕡〲攷㤲㥣㠵㈴㑦〷㈸㍥㘳搷挹㔹㠴㘲搲攴晣㠳挳㑡㐸捥㤹㘸攲㜷㕡愸㔳㑢搱捥㉢㌹㜳㤳㈵愷搱㔴㈴㍣攸㍦ㅦ㥥㕡㜸㕣ㄸ昳㌸㍤〰摢㤸挷㠵〹て挲昴㔳愲晦晦戸敦扦敥㜱㕦散愳扥〳晥捤昳慤戸㠷㝤㐹ㅦ敤㍣㠰ㅤ攲晦㍦㉣㡢㥦㜴慢ㅦ㤶㥤捦搳㐰扤㌹戱㈰㑦戱晦㥣ぢ㔰敤㕣㐸戸㠸㐷㝢昳つ收ㄵ扡愸㤶愱㠱㥣㔴㉥愶搱㈵㠰㡣ぢ㐱戵晣挴〷㠷㙢㈶㡣搲㌹晦愶㐳捤戰㜰㈴㠸㐹戲昲㤴㐶〵晦㕦㍥挴㐹挷㕣㘵搵晣〴愷攵㈰㌰昶㝤㄰㠴㉦晥㌱㜰散晣㑤捣㉡慤ㅣㄹ慥㥤㠲㈷ㄵつ㌴晦㑦㍤㥢昹㑦昹攱㤸㥣㑢㈱㥢晤㤷㔱㠵㥤愱昵㌱㈱㕤㈹㙤收昱〱㕢㜹㜹㑡㕢㝡㈳攳㕣㐰搸〰㠸㜹㍢扤㤲㍢㑤㑢㜵敡㈲㌴㠹扥㘳昸慥㠵㝤ㅡ㜶ㄶ晤昴愰㍣搹扢挶戱愶㈲㘱ち搱ち㜸换挲换戹〱㡥㥣ㅢ〹慢〹㌷ㄱ搶〰搴ㄱ㘶捦攷㍤㘹扥昸〱㐴慥昴㥣㕢㘸㜳㉢㘱㉤挰戵攷摦㑥捥扣愵㕥㡣㈶㍤搸挱㍡㤲㜷〲搴愵㈸敡户搴扢㔰㑣晡㤶㝡〹㕢㈵㈴攸㕥㌴昱㍢㉤搴愹换搰㉥㥡㈰搷愳㤵攱挹㤲㌳捣㔴㈴㑣㡦扡〲㥥戲㌸㡡挷㌸昶挷〹敢〹㑤㠴つ〰㜵愸㐹づ敦晥㝦〵换收攴㙣愴つ㡢捥㤳〰㔷㜲㌶㤳㤳攴愴愸㉢搱㐴㤲昳っ挹㘷〱㡡ㄷ㥢㍡㌹㕢㔰㑣㥡㥣㤵ㅣ㔶㐲㜲㕥㐰ㄳ扦搳㐲㥤扡ㅡ敤扣㤲搳㉦㔹㜲づ㌰ㄵ〹㌳扦慥㠵愷㉣㡥攲㑤㡥晤㉤挲摢㠴㜷〸敦〲㔴㉦㤳ㅣ㡦㥢ぢ戴搹㑡昸〰攰㑡捥㜶㜲㘶捦戹づ捥㈵㌹ㅦ㤲晣〸愰㔶㠱搲挹昹㈷㡡㐹㤳㜳㍤㠷㤵㤰㥣㑦搰挴敦戴㔰愷㙥㐰㍢慦攴散㤲㉣㌹〱㕢ㄱ㍦慢㙤㌵㍣㘵㜱ㄴ摦愰㔳攷㕢挲㜷㠴敦〹㍦〰㤴摦㈴㘷㌱慣昸攲慥愲て慢㥦戰攵晣㑣昸〵攰㑡捥㙦攴㑣㜲㙥㐲㤳ㅥ散攰て㤲㝦〲搴捤㈸敡攴晣㠵㘲搲攴慣㘱慢㠴攴愴愶㌱㌹㉤搴㈹㑥挳昳㑡捥㑦扦㈷扢戹㘰㉡ㄲ㘶散㜱愲㕥ㄶ㐷搱づ㥤㍡敤〹ㅤ〸ㅤ〹㤹〰昵㌵㥡㝡㍦㤴摢㠵㌶扢ㄲ㍡〱㕣挹改㑣㙥㈳扣攲㕥挲㙤昸㈵挹改㐲戲㉢㐰摤〱慡㈷㕥㔸愵㠲㘲搲攴摣㑥㡢㠴攴散㠵㈶㝥愷㠵㍡戵づ敤扣㤲昳㝥戲攴扣㘷㉡ㄲ㘶㈳摥〵㑦㔹ㅣ挵㝥攸搴搹㥦搰㥢搰㠷搰ㄷ愰摥㌰挹㐹扣挶改㐷㥢晥㠴〳〱慥攴ㅣ㐴㙥㈳扣㈲㌹㜷攳㤷㈴㈷㠷㘴㉥㐰摤ぢ慡㈷㕥㤸昵㡦㘲搲攴摣㐳㡢㠴攴ㄴ愲㠹摦㘹愱㑥摤㠷㜶㕥挹搹㤸㉣㌹㑦㤸㡡昸㤹㤶ㄹて挲㔳晣㥣ㄱ㔹攷ㄱ㥤㠳收晡挰摢ㄱ挶扥挸搴摡慡挶㠶㜶㤱愱㜳ㅢ敢㐶㔴㌵攲ㄳ㐹晢〸〰㥢搲㘴て㤹慥攵㙡搴㉦㌲慤㉡㝣㈲㍦㡢㜴㑦慣挲ㄲ㤸戲戹つ㡤㜵㌲ㅤ㘶㥦挴晡㘱㜵㠷搵㌵づ慢㙡㤸㔳ㅤ㕣搰换愳㕡搷㑣㥦ㄵ慥挵晣挱㝡㑣㈳晣㜷㐶㜵㜳收㠴㉢㍤挶㌸戹㙥㙥㝤㈸㍣㝡搸㝦挳っ㐴愵攷昵愴㘰敡㠸㔲㈹㙡扦攴㔷㈴慥扣敦つ㙤㔲㌱摤㐴晤捤〹㙣摣ぢ㜱㌳〹扢㕥ち晡挴慥敥っ攵㙥攸㑦挹㜸〸㔴换扢㠸㙢㑥㘳㍢ㄸ晢㈳㤰㔵㜳ㅤ捣愴搹搱戵つ㔵㤵㘱扦㈹㘱㉡㜷㐷戳㌹㘱㙥㘳㑣㑤㜰㝥㈷㔳㌳戴扡㝡㐲㉤愴て〵敢㉢晦ㅢ㔴㐱㘰昸愷㈵㔱㍥晣晦㝢㠹搶㙥㔲㔲扥收晤㙡晥晢㝡㈱づ昶㔲㤳敢㠷㐱㜸㑥㔱㡡ㅥ㡥搸㜰㑤〹攵ㄵ㑤〷愶㍢㑡户㘵㘹㝣㌸㔸㉢㉡㑣㙥慣ㅣㄶ㥥搷㔱㉣挲搸挱戱昲慣㍡摣㈹戶㈸搷㐰㑥㘴㘸㐵㐳㕤昵摣挶㜰挷攸㤶ㅣ攸㑥㘴㔲戸㍡挸改扤敤愳㕢ㄳ㐳㡤㤸〰ㅤ昵挷愹扢晦㍤ち㈱㈳改㐶㈵㈵㍡昹㕡搸㜹㘳㠳攰㌱昴㌷㔵㠵㤸ㄱ昹昷攵㘰㜵攵ㄵ晣㜷换攰ㄴ扢攱攷扦㤴㡣㐷攰㍥晥㈲㈷昶㕣敢㥥扦换㈳愹㤳㥤㔶慥捦㜰㜲昲㙡㙦㌹㑥㥤敤㄰㤱昳ㅥ收挷㜳㠹㐹㈶て㥤㙡慣〸㙤慣ち〵慢慢ㄷ㜴㡣㡣慥つ㔵捦慤っ㡦ぢ㔶㠴慢敤㌹扢慥扥收扦㐴慦㜴ㅥ〲㕡慢ㄶ昲㘲㤲㌲ㅡ㉢㜵敤㙣攱扦㝤㥡挳晤㜱ㅣ㘹昲㤶ぢㅦ㝥㘷戸㌹敥ㅥ挵㐰晥搷㤳愵晤㘸戴㙢昳㔴㝦㔹换㠹㔳㕢〲挵㜳ㅡ愷㡣㐶攷㕢换ㄱ攷㌲ㅢ㔷㌷慥づ㜳攱㉢㕤搴愸㉡㑤晤搷ㅣ㔷㈲㤳捦攷晢扢㙦㌰挸ㄵ晥㝤㙤愶ㅥ攱愴愷换㠳昹ㅥ挳㠳攳㜱㤴攳㈷㥢扡づづ㜹敦㤷㤳㈰敦戴㘶昲っ愶㍦㌸㑣愹㙡慣づ户㡢㐸扤㙣户攵㈱挱㙣戶㠹㑣㤹㠵㠹㥢挳㍡㐴㐶搶㔷㔵㔶㔷搵㠶昹㈱〴㙢㌳戸㝥㜶㕣㜸㈶㔶ㄱ㑣慣㙢愸攲晡慣づ㤱㈹昵挱摡㠶㌹㥣㥦ㅢ㕡戰㙢㑣㐹挴捡㠸㤴㔶搵攲〰搲㝤㜲㍢㌳㌲㜹㔶摤㠹㔸㔹㍥户愶㜶㘴㜰㑥挳㝦㠵㔰收㉤〵ㄹ搲㐷㔵慡㑡㑤㔵㙤㔳摢晥摤昷㉡摦〸ㅥ㉤㐳㌷㕥㌴㈱㉢㌷㍢㌷㕢摣收挲㝢㉡㐱㘹攱搶㘳戳㠵愳㤷㥡㤹ㄵㅤ㍣㝡㌹挲㤸㠵㙦㥥ㄳ挹愳㡢昴㜹㐶㜶㐶㘲㄰敤㐷〱挶㡣㥣㍡扡㜹ㅤ搰晦搵㡡昷㡣㈶㜸㙥攱㡤㐱㜶㤲攸愲㠳捥㌰敥愸㜷ㅣ㜲摣㡦ㅣ搱㥦愵昸㥤搱ㅦㄱㅢ敥㤷㜸㉦愵㌹㌷㐷㘰㈲㜸㝢㥣〶㜰㈲挶〴㝡㥣㠱㍢敡〲㍦摣搵〴慢ㅢ㑣㕤㔹㕤㑤㑤㤰㍢ㅡ㜷搲挹㌸㡢㠷摢捡㈷㙤㥣㔷㥣〸㐰昶㐶㐳〵攷㠳ち捥ㄷち㙦捥㕣㐸㈴摢昴㔵㌷㌳㔸㕦搵㌸慢愶㉡搴㤶〵㉥昶昹慦搸㐳戱摢愴㈳㤹昶㥦散愶昸搸ㅡ㝦搷㔳捦㉦㠷摣〳㜰㈵挱搴㔱㝥散挷愹昲㡥慥晥收㉡つ㝣慥㤵㔳扦㌳〶摥㌲㜰㐹㥦㠲㌷〱㍤ㄴ搷挷㌱㌰㝥㘷㉣㉣㜰㕡㔲㑦搰〸㉦㘷ㅣ〸㙥昰㤵扥〹搰攲戴昹㌶㌰昰㡦慢ぢ㔶㡥挰㥡戰扡晡㌶收㕢ㅡ摡㐲㕥㥥㘴敡〳㕣㉡㔱㠶搵㐶㔸挵㌴て㥦㡣敢摢㤲㤸㡣㐵〸改㕣㘴攱搳㍡昲㜸㑢挹挸㘸搷搶慢慦搱搶㔷㉦㌳愵摣晤㉤ㄷ愳ㄳ晣㝦㝥㜸昱㘰㡥摤敦㐷㈰㈹捥㜸愰㜳ㄸ㘳㝡ㄲ㐵挶ㄳ㘷㌰㠱〶ㄳ〱ㄹ㥢㔱ㄹ㝦愴㈴㕤㔶㠰〶㈹ㄹ㌵㕣敥搰戶㠶攱攰〳㠸て㡢㈰戰㙣〲㈹昱戵㙢晢ㄴ敡㥤挳㘱昵晣㜳捦つ挲㜶㡡㝡ㄶ㘰晢㤷戴昹㠹捥㈴昶㍦ㄹ愰㕥㐵㤱㤷愹㈲ㅤ㈶㐸戲ぢ㜳㠹㌲つ摢㔴改㌵㔰扣㑣戱晦㕣㙡㐲换改挶敡㜵㔴昳〳㌶㌵晣㜷ㅦ搶搴ㅢ戰攳〷㌶㑣挱㐴昳收㑦っ㐷ㅡ㘷㙦愲㡡㥦ㅡ昴扦愴敦㙢敡㙤ㄸ昰扤㉤挵㜷ㄴ晤搸㜳㘹㠹搷戹㔴扤〳㍢㥥㑦㥤愳㘱慢摥挵㔶ㄳ㕥ㄸ慦摥㙤㡦〵摢昲㙥㕢㙥㐶昷扥戴㠲愳攳攸挸ㄴ搴〷搸戰愹㜶敤ぢ㐱搸㌸ㄵ㌴摣收㙤㄰愲㐱㈵つ戶挳㠰晢㠳ㄳ㐶㈹㉡攱㐷慥㘶㉥〹㈳㙣㌶㤳捤扥㠰㠱㑢挲㉡㜰㔶挲攳戱㑤〹扦〴㤵㕣挲搹挶㡡㜷㠴㕢㉤攱搷㌰搶ㄲ㔶愳㜹戳㠴戵挶搹㌷愸㙦㡤㠴摦挱㑥㑢㔸㐷㍦㐶挲扣㍣㑦〹扦㠷戱㐸㌸〷戶敡〷㤴㥡昰㡡㑡㔸て戶㘵〹ㅢ捣攸㝥㤲㔶攸㡦摦㔴ㄳ㤵昰ㄷ戰ㅥㄲ捥㠵㡤㌳㡦㠶扦㝡ㅢ㥣㐸㠳昹㌴昸つ〶㈲攱〲㤴愲ㄲ晥改㙡收㤲昰㈴㌶㍢㤹捤摡㘰〸㉥〹㑦〵㘷㈵㍣つ摢㤴戰㉤㑣㤲㑢戸搰㔸㌹戰㙡戵㠴㕣㔵愰㈵㍣ㅤ捤㥢㈵㕣㙣㥣戵㐳㝤㙢㈴攴捡〳㉤攱ㄹ昴㘳㈵捣昱㤴㤰㉢ㄴ㐴挲㌳㘱慢㌲㔱㙡㐲戰㔱〹捦〶摢戲㠴㑢捣攸㜶㐱㔳晣愴㌸晦愰㈳㜱㠱摦㝣戲攱㈱攱㌹戰㜱㤶搲㤰㙢ㅥ㍣っ捥愵挱㜹㌴攸っ〳㤱昰㝣㤴愲ㄲ㜲愱㠳㙤收㤲㜰ㄹ㥢㕤挰㘶㍤㘰攰㤲昰㈲㜰㔶挲攵搸愶㠴㕣戲㤰㕣挲ㄵ挶慡㈷慣㕡㉤㘱㉦ㄸ㙢〹㉦㐶昳㘶〹㉦㌵捥昶㐳㝤㙢㈴散つ㍢㉤攱㘵昴㘳㈴捣㈹昶㤴戰て㡣㐵挲换㘱慢晡愲搴㠴㘰愳ㄲ㕥〹戶㘵〹㔷㥡搱昵㐳㔳晣愴㌸㔷搱㤱戸挰㙦慥扥戰愹㈶㘹摥㔴慦㠶㡤㜳つつ戹㌲挳挳攰㕡ㅡ㕣㐷㠳㠳㘰㈰ㄲ㕥㡦㔲㔴㐲㉥挷戰捤㕣ㄲ慥㘲戳ㅢ搸散㄰ㄸ戸㈴㕣つ捥㑡㜸ㄳ戶㈹㈱ㄷ㔶㈴㤷㜰㡤戱ㅡ〴慢㔶㑢挸ㄵㅡ㕡挲㥢搱扣㔹挲㕢㡤㌳㝥戰㘸㡤㠴㐳㘱愷㈵㕣㑢㍦昶扤戰搰㔳㐲慥昶㄰〹㙦㠳慤㉡㐳愹〹挱㐶㈵扣〳㙣换ㄲ慥㌳愳ㅢ㡥愶昸挱愳㔲㍡ㄲㄷ昸㍤ㄲ㕢㌶搵㈴㡤㠴㜷挱挶戹㥢㠶愳扣つ敥愱挱扤㌴ㄸつ〳㤱昰㍥㤴愲ㄲ㜲搱㠸昵敢㤲昰㝥㌶㝢㠰捤愶挲挰㈵攱㐳攰慣㠴て㘳㥢ㄲ㜲昹㐷㜲〹ㅦ㌱㔶搳㘱搵㙡〹戹㡥㐴㑢昸㈸㥡㌷㑢昸戸㜱挶㈵㈶慤㤱昰㈸搸㘹〹搷搳㡦㍤㤱攲㝡㄰ㅦ攵攳㉥つㄵ搷愴㠸㠴㑤戰㔵挷愰搴㠴㘰愳ㄲ㍥〱戶㘵〹㌷㥡搱㤵愳㈹㝥昰昸㤷㡥挴〵㝥〷戱㘵㔳㑤搲㐸昸㈴㙣㥣愷㘸挸㔵㉥ㅥ〶㥢㘹昰㌴つ㐲㌰㄰〹㥦㐱㈹㉡㈱㤷戶搸㘶㙤挵㉦㠵㜴㥥㘵戳㉤㙣㔶〷〳㤷㠴捦㠳戳ㄲ扥㠰㙤㑡挸㐵㉡挹㈵㝣搱㔸㥤〰慢㔶㑢挸搵㉥㕡挲㤷搰扣㔹挲㔷㡣戳〶搴户㐶挲戹戰搳ㄲ扥㑡㍦昶㐴㕡攴㈹㈱㔷捥㠸㠴慦挱㔶㥤㠸㔲ㄳ㠲㡤㑡昸〶搸㤶㈵㝣搳㡣㡥换㙤昰㠳攷摡㜴㈴㉥昰晢㘴㙣搹㔴㤳㌴ㄲ扥つㅢ攷ㅤㅡ㜲㉤㡥㠷挱扢㌴㜸㡦〶愷挲㐰㈴㝣ㅦ愵愸㠴愷扢㥡戹㡥挲慤㙣昶〱㥢㥤〳〳㤷㠴摢挱㘱㔴昲摣㘳〷戶㈹㈱㤷搲㈴㤷昰㐳㘳㜵㉥慣㕡㉤㈱搷攴㘸〹㍦㐲昳㘶〹㍦㌶捥戸㕣愷㌵ㄲ㕥〰㍢㉤攱扦攸挷ㅥ㠵〵㥥ㄲ㜲㝤㡦㐸昸〹㙣搵㐵㈸㌵㈱㔸挴㉡晤㍢㥦㠲㙤㔹挲捦捣攸㔶愰㈹㝥㔲㥣捦改㐸㕣攰昷㈵搸昲㔰攸ぢ搸㌸㕦搲㤰㉢㠶㍣っ扥愲挱搷㌴戸っ〶㈲攱㌷㈸㐵㈵攴㌲㈱摢捣㈵攱户㙣昶ㅤ㥢摤〰〳㤷㠴㍦㠰挳愸㐴挲ㅦ戱㑤〹㙦㠴㐹㜲〹㝦㌲㔶慢㘱搵㙡〹戹㜲㐸㑢昸㌳㥡㌷㑢昸慢㜱戶〶昵慤㤱昰ㄶ搸㘹〹㝦愳ㅦ㝢ㄴ㝡扦ㄷ㜲ㄵ㤲㐸昸㍢㙣搵㕡㤴㥡㄰㉣㘲搵ㄲ晥〹戶㘵〹晦㌲愳攳搲㈵晣愴㌸㝣挴挸つ㜹慤〳摡㔴㤳㌰㐷㈱敦搴㌸愹㌴攴扡㈶て㠳㌴ㅡ攰ぢぢ㔳搴㕤㌰㄰〹㌳㔰㡡㑡挸挵㑣戶ㄹ㙦摢晡晤扢戰㙦ㅦ㥢戵㘱戳挷㘰攰㤲㔰扥㔸搳㐸攸㐷㍤㈵攴戲愴攴ㄲ戶㌳㔶敢㘱搵㙡〹㥢㘰慣㈵㙣捦㤱㙣㘰ㅡ昸㌰愰愳㜱戶〱昵慤㤱㜰㈳散戴㠴㤹昴㘳㡦㐲敦敢挲㑤㌰ㄶ〹〳戰㔵㑦愲搴㠴㝥㤱㝦㉤攱慥㘰㕢㤶戰㤳ㄹ摤㘶㌴挵て㤶㐶搳㤱戸挰敦㘷戰戵〹㠵戸扢㌸㥤㘱攳散㑥㐳慥戳昲㌰攸㐲㠳慥㌴搸〲〳㤱戰ㅢ㑡㔱〹戹戸捡㌶㜳ㅤ㠵㝢戰搹㥥㙣昶㈶っ㕣ㄲ敥つづ愳㤲愳㜰ㅦ㙣㔳㐲㉥㤳㑡㉥㘱㜷㘳挵㜵㔴慤㤶㤰敢慤戴㠴㔹㘸摥㉣攱扥挶搹扢愸㙦㡤㠴敦挳㑥㑢搸㤳㝥慣㠴㥥㜷扡ㄵ搷㙥㠹㠴扤㘰慢㍥㐰愹〹挱㈲㔶㉤攱晥㘰㕢㤶戰户ㄹ摤㜶㌴挵て愶愰搰㤱戸挰敦て戱戵〹㠵㌸〹晢挲挶㌹㠰㠶ㅦ㜹ㅢ昴愳㐱㝦ㅡ晣ㄳ〶㈲攱㠱㈸㐵㈵晣挴搵捣㈵攱〰㌶㍢㠸捤扥㠱㠱㑢挲ㅣ㜰ㄸ㤵㐸㤸㡢㙤㑡挸挵㕣挹㈵捣㌳㔶摦挱慡搵ㄲ㜲㔵㤸㤶㌰ㅦ捤㥢㈵㉣㌴捥㝥㐰㝤㙢㈴晣〹㜶㕡挲㈲晡㌱ㄲ收㝡ㅦ㠵㕣㘱㈶ㄲㄶ挳㔶㜱愹㔹ㄳ㠲㐵慣㕡挲㠳挱戶㉣攱㈱㘶㜴扦愱㈹㝥戰㡥㥤㡥挴〵㝥晦㠱慤㑤㈸挴㐹㌸〸㌶捥愱㌴攴㥡㌵て㠳挱㌴ㄸ㐲㠳扦㘰㈰ㄲづ㐵㈹㉡㈱ㄷ慡搹㘶㉥〹㑢搹慣㡣捤摡挱挰㈵攱㜰㜰ㄸ㤵㐸㌸〲摢㤴㤰㑢捥㤲㑢㌸搲㔸㜵㠰㔵慢㈵攴摡㌵㉤攱㈸㌴㙦㤶㜰㡣㜱挶㘵㙤慤㤱㜰ㄷ搸㘹〹挷戲攵攸㕡昹㈲㘶㝣摢㠹攷攷ㄹ㉥㠴ㄳつ挷挱㔸㜵㐲愹〹搱㈲㔸慤攱扦㍦㤳㑥㌰挳攳敡㌹㑡攷㑣愴㈳㜱㠱摦㕣㉤户〹㠵㌸つて㠷㡤㌳㠹㠶㕣㐹攷㘱㌰㤹〶㔳㘸搰つ〶愲攱㔴㤴愲ㅡ㜲昹㥣㙤收搲㜰ㅡ㥢㑤㘷戳晤㘰攰搲㜰〶㌸㡣㑡㌴㍣ㄲ摢搴㤰ぢ攱㤲㙢㜸㤴戱敡つ慢㔶㙢挸ㄵ㜵㕡挳愳搱扣㔹挳㘳㡤㌳㉥戶㙢㡤㠶晤㘰愷㌵㉣愷ㅦ㝢㈶捤昷㤴㤰慢昳㐴挲攳㘰慢づ㐴愹〹挱㈲㔶㉤㘱〵搸㤶て挳㤰ㄹㅤ㤷昴㠹㠴㤵㜴㈴㉥昰㍢〷散㈶ㄴ攲㈴っ挳挶㠹搰㤰敢晤㍣っ㘶搲㘰ㄶつ昲㘰㈰ㄲ㔶愱ㄴ㤵㤰㡢晣㙣㌳㤷㠴挷戳搹㙣㌶ㅢっ〳㤷㠴㌵攰㌰㉡㤱戰ㄶ摢㤴㤰换昵㤲㑢㔸㘷慣㠶挲慡搵ㄲ㜲摤㥦㤶㜰づ㥡㌷㑢㔸㙦㥣㤵愱扥㌵ㄲづ㠷㥤㤶戰㠱㝥散㤹搴晢摡㥥㙢〸㐵挲㐶搸慡㤱㈸㌵㈱㔸挴慡㈵㥣〷戶㘵〹㑦㌴愳攳挲㐳㤱㜰㍥ㅤ㠹ぢ晣ㅥぢ㜶ㄳち㜱ㄲ㉥㠰㡤㜳ㄲつ戹㉡搱挳攰㘴ㅡ㥣㐲㠳昱㌰㄰〹㑦㐵㈹㉡㈱㤷㈲摡㘶㉥〹㑦㘳戳㠵㙣㌶〳〶㔱〹㤵戳〸ㅣ㐶㈵ㄲ㉥挶㌶㈵攴愲挲攴ㄲ㥥㘱慣戸敡戰搵ㄲ㜲㜵愲㤶昰㑣㌴㙦㤶昰㙣攳㡣ぢㄷ㕢㈳㘱㌹散㐴㐲㘷㌱挶敤㜹散㜱㝤愳〸昷て昸㔶㐱㤴㥡㘸㘹㠵㕢ち戶㘵攱捥㌵㘳ち愱愹〸㜷ㅥㅤ㠹ぢ晣づ㠳摤㠴〲㠵愳㕦㜳㉤㜱㍥㙣㥣㘵㌴攴〲㐹て㠳ぢ㘸㜰㈱つ㘶挲㐰㠴扢〸愵愸㜰㕣ㄵ㘹㥢戹㠴㕢捥㘶㉢搸慣〱〶㔱攱戰㉡〸ㅣ㐶㈵挲㕤㡡㙤ち挷昵㡤挹㠵扢捣㔸㜱〱㘴慢㠵攳㐲㐹㉤摣攵㘸摥㉣摣㤵挶ㄹ搷㔰戶㐶戸〵戰搳挷摥㑡晡戱挷㥥昷〳ち㉥扡ㄴ〹慦㠲慤攲敡换㈶愶摡㑡㜸つ搸㤶㈵扣搶㡣㡥㉢㌵㐵挲敢攸㐸㕣攰昷㐲戰㥢㔰㠸㍢昶慥㠷㡤戳㡡㠶㕣挶改㘱㜰〳つ㙥愴挱㈲ㄸ㠸㠴慢㔱㡡㑡㜸愶慢㤹㑢挲㥢搸㙣つ㈰攳㝣ㄸ晣㉦搶摦㜱㠶㥣ㄳ㥤㕤㉣㤳ㅣ㥢㈷ㄳ㜷㠸戸攷づ㜷㡡㤸㐹挴慥愹挲㜱㥣㑣慥挳慣㡥晦愲㠹挰㠸て挹戴㜳㈴晥昶捣㉢㑥㜲昰摤㡣〴㘷昲㝢收〶㌴㝦愷戲㑣攰㔱㕣㙥愷㜷扤㕢㘰搳ㄵ㠹㙡慣慦慡㤸ㅢ㤲慦㥢㙢㌶㡥㥥㑣搲㥢㈷晦㈸慥搲㤳㍤昱㔶㌴㔵ㄷ愱搴㈴㘳㔶晡㕤攰㌶慡ち㌲昹㍣㡢摢㘱挱㐳㜳〵慣㘴㑦扣㠳㡥搸㠲㉦慥敦摢㠴つ敥㠹ㄹ昸敤搷㜳〳搶挱挶戹㤳㠶㕣晢攷㘱㜰ㄷつ敥〶㘴㜰㤵㔹晣攴㤲搸挵㜲㤸㐳敤挰㜵扡晣愱〶㝥ㄷ㘳㕢㝣慤愱㝣㠹㘳㠶捣挲㘸攷晡昲㐵㥦晥摥挵戶㘸㠳慤㥡〶摦㘴㑣搳〹㔷晡昵㙥挷㔹て㐸㜵㑡㙡㙡㍡收慡昸攲㤷づ㈷㜴㑢ㄷ㤳挳戲愰㑦敤㠳㈱昸敥挱㠸晤㥣㔷て晦攵㠷ㄵ㐹づ摤㙢搹㌰㈹晢㍥㤸㘰捤〱ㄷ戵㙤挲ㄶㄳ搳㠱㡣㑥捣晤愸㜵ㅥ〰愸ㅢ㘰攰㍡ㅢ㍥挴㘶收㙣昸㌰戶㤹昲ㅢ㘱㤲晣㙣昸㠸戱㕡つ慢㔶㥦つ戹挶㑤㥦つㅦ㐵昳收戳攱攳挶搹ㅡ搴户收㙣挸㜵㜰㝡㤷㕣㑦㍦昶㙣攸㝤㝦㤳敢攵㘴ㅦ㙣㠲慤㕡㡢㔲ㄳ㠲㐵戴㝡ㅦ㝣〲㙣换晢攰㐶㌳扡摢搱㔴昶挱㑤㜴㈴㉥昰㥢慢散㌶愱㄰㜷㌶㝣ㄲ㌶捥㔳㌴攴ち㍣て㠳捤㌴㜸㥡〶㜷挱㐰捥㠶捦愰ㄴ㍤ㅢ㜲搹㥤㙤收㍡ㅢ㍥换㘶㕢搸㡣㑢攴㕣ㄲ㍥て捥㑡昸〲戶㈹㈱ㄷ搰㈵㤷昰㐵㘳戵ㅥ㔶慤㤶㤰㉢昱戴㠴㉦愱㜹戳㠴慦ㄸ㘷ㅢ㔰摦ㅡ〹㌷挲㑥㑢昸㉡晤搸敢〱㙦〹戹㔴㑢㈴㝣つ戶敡㐹㤴㥡㄰㙣㔴挲㝦晦㤹攴㑤㌳扡捤㘸㉡ㄲ扥㐵㐷攲〲扦戹ㄶ㜰ㄳち㜱ㄲ扥つㅢ攷ㅤㅡ㜲㥤愰㠷挱扢㌴㜸㡦〶㕢㘰㈰ㄲ扥㡦㔲㔴㐲㉥づ戴捤㕣ㄲ㙥㘵戳て搸㡣ぢ昹㕣ㄲ㙥〷㘷㈵摣㠱㙤㑡挸㘵㝥挹㈵晣搰㔸扤つ慢㔶㑢挸昵㠲㕡挲㡦搰扣㔹挲㡦㡤㌳㉥㈵㙣㡤㠴敦挳㑥㑢昸㉦晡戱㐷愱昷㈵ㅤ搷ㅥ㡡㠴㥦挰㔶㝤㠰㔲ㄳ㠲㡤㑡昸㈹搸㤶㡦挲捦捣攸戶愳愹㐸昸㌹ㅤ㠹ぢ晣晥㄰散㈶ㄴ攲㈴晣〲㌶捥㤷㌴晣挸摢攰㉢ㅡ㝣㑤㠳㝦挲㐰㈴晣〶愵愸㠴㕣挲戸挹昸㜵㐹昸㉤㥢㝤挷㘶摦挰挰㈵攱て攰慣㠴㍦㘲㥢ㄲ㜲㌱㘲㜲〹㝦㌲㔶摦挱慡搵ㄲ㜲㔵愳㤶昰㘷㌴㙦㤶昰㔷攳㡣ぢㅥ㕢㈳㈱㔷㍥㙡〹㝦愳ㅦ㉢㘱㜱昴捤摣㌵㤳㔷㜱㠵愴㐸昸㍢㙣搵㉦㈸㌵㈱搸愸㠴㝦㠲㙤㔹挲扦捣攸戸慣㔲㈴㑣挱㥢㜶㔴挲㍦挰㙥㠲扦㌸〹昹㜷㜶㥣㔴ㅡ㜲捤愵㠷㐱ㅡつ搲㘹昰ㄷっ㐴挲っ㤴愲ㄲ愶攲搹㠶㙤收㤲搰挷㘶㙤搸慣ㅤっ㕣ㄲ捡㕦敥㌲敦㠵㝥搴㔳挲昶㌰㐹㉥㘱㍢㘳搵〱㔶慤㤶戰㈳㡣戵㠴敤㌹㤲つ捣愴㍣㘵㌰捥㌲㔱摦ㅡ〹㜷㠱㥤㤶㌰㤳㝥㡣㠴㌹㈵㥥ㄲ敥ち㘳㤱㌰〰㕢搵〹愵㈶昴ㅢ㤵㜰㔷戰㉤㑢搸挹㡣慥㌳㥡㡡㠴扢搱㤱戸挰敦㉥㘰㙤慡㐹㥡㡢扢捥戰㜱㜶愷㘱㔷㙦㠳㉥㌴攸㑡〳慥ㄵㄵ〹扢愱ㄴ㤵㜰㉦㔷㌳㤷㠴㝢戰搹㥥㙣戶ㅦっ㕣ㄲ敥つづ愳㤲㡢扢㝤戰㑤〹昷㠷㐹㜲〹扢ㅢ慢摥戰㙡戵㠴㝤㘰慣㈵捣㐲昳㘶〹昷㌵捥戸㜸戴㌵ㄲ昶㠳㥤㤶戰㈷晤搸愳搰晢㠹㝢㝦ㄸ㡢㠴扤㘰慢づ㐴愹〹挱㈲㔶改摦搹ㅦ㙣换ㄲ昶㌶愳㍢〸㑤㐵挲㍥㜴㈴㉥昰㍢〷慣㠷㠴㝤㘱攳ㅣ㐰挳㕣㙦㠳㝥㌴攸㑦㠳㍣ㄸ㠸㠴〷愲ㄴ㤵戰搰搵捣㈵攱〰㌶㍢〸㤰㌱〴〶慤㕢捡挸收〱搷晡㔲昹ㅥ㡢㕤㈲㠷捦つ㔶攳敦愶㑤挰㈲愷㐶㔲晦つ昳搹搳昵㔲戳㝦晢㔱㕦㐲㌸敡㤸㝤㄰㔹㝣づ㘲㉦ぢ㑣㙣昲戵ㅤ㝦㙦㈹㥡㍦攳愵㕦晦晡慢㜵扤㜰慦㠸晤㈲つ㠸㠴ㄹ搳㌹㄰㡣挷ㄴ㤷㠰捡㉥㤴ぢ挲㠷㉡扥㔴愹㘵昳挰摡㝦ㄹ㘵㘰㕢㔸〷ㄲ户㡡㡢㕥㍢㌵捦㔸攷晡㠴㝥搵戸昲㙣挵㜲㤰㝣昴慡㠶㝢㡤㐱㡤戴㙣㈱㙤搰〵㕦ㄹ㘳挰挶㕦〳㈶㉣㌰㐸㠷㈵搶愷㘲愹挱攴挶〵搵㔸摥挱㑤㕥ㄳ敡㉤捥㘵搷搵ㄸ㜴㕤㝤㍡搶攸挶㝦昵㑦戴敤〳㜰搵㙥户戸扦愲㈱捤㔸㌳ち愳挹㜸〶ㄲ㈵㙤捦㐱㌷慢挲㌶晣攷㉢㐶㑣扢㡤慦ち攱晢攱敢㈲㡤㔹㤳戱㘰㈹㡢㝦㔷㈵㠲愵㙢㐳㌳㌶挳愳㘷㥦っ㉣扤㤶㝦㘲㜰ㅥ扦㌱挵㍦扢戶敥挴㕡ㄹ㑤㐶〳晦扣っ㝢㜳摡戴㘱㌷㕣搰㈶晦㝡㈲㜱㙡慣㑤收挱攸㤸挷愴ㅣ㤷攳挰搲愵㜳〸搸づ㘹㠱昱挶捡㌷㄰攵晤捡㑡换㈶㤵〷ぢ戲戳㉢㜳㑡挲挵挵㐵挵昹戹〵挱攲㡡㡡㐲㜰㈵㤱攲㘰㈴㕣㤲㔳ㄸ㌸捣㝡ㅥ㠴㌶㠱〹戶㜴㈸㑢ㄳ㙤㠹㜵㤹㠷愳挴㔱㜱扦晢㡦晥ぢ㑣㠲㘷晣愴昸㠶愰㥦㡥㘵愵攵慥㠵㑡扥愱攰摡㠳㤳ㅢ〰㤳昰㘷㕥㝣愵㘰㜶〱ㄳ晢㌷ㅣ〳㤳㡤ㄷ㈷ぢ慥㥣ㅥ㠴攱戰㔴㔳挱昳㠴攷㔷て㐳ㄷㅥ㤰散换敦㡣㐴㈵て慣㘹㈸㑡攲㐷㠱㠸ㅥ㔸搳㉤敢㍥戰搴ㄱ㘰㜹㜰㌹㘳攸昹㐸㑦㥢愳㉤㍢㡥㌶攸㑡㕥挷㠲攵捥慦敥挱〰戸换愱㈲挵攱㝥挴㕤㐶摤〵㠶扢㑤慣散攵搶搵㐴搸㐵㘵㍦づ慣挸㝥㌸㔸挸捥㌵〳散挳㌷〹㘵㉤㝢㐱㘵㘱㐹㜱㌰㕣㕣㤹ㄳ㉣捥㉦挹てㄷㄷ〶㜳㉡戱ㄳ攴㤴〴㜳戳戳㜳㜳〲ㄵ搶昳㘴戴〹㠴㙣㐹㘴㤷搵〵ㅣㅤ敢㌲挳愸摢㌹戲㐷攰ㄹ㍦㜸摡㡡㝥ㅣ敡散㔰摡挰㑣换敦捦捡摥㠴愳挰㉢㉥㔵搰㐲摥㠸㑣㌵ぢ㜹っ㉡㈹攴昱愸ㄷ㈱㡦〵ㄱㄵ㜲戶㘵㘳㠴慣〶㉢㐲ㅥ㐷捦戵㥥㌶㜳㉣㕢㐱ㅢっ㐳㕥昵㘰㐵挸慢㌱㠸㐴㈱㔷㝡ち搹㘰㕤㐵攰㉡㉡㈴㔷ㄳ㠸㤰㌳挱㐲挸戹挶捡㌷ぢ㘵㉤㘴㌸㥣㤷㕤㤱㕢ㄸ慣㉣ち攵收㘷㘷攷㤴攴ㄶㄴㄴ攵ㄶ㐶昲㈳㐵挱㔰㐹愸㈸㌰捦㝡慥㐲㥢挰㠹戶㈴㐲捥户㈵搶㘵㜲㡤挱捥ㄱ昲㈴㜸挶㑦㠲㤰㈷㕢扥㍦㉢て㈴㥣㠰㤱㈸㉥㔸搰㐲㉥㡢ㄱ戲〱㤵ㄴ昲㌴搴㡢㤰㡤㈰愲㐲㉥戴㙣㡣㤰愷㠳ㄵ㈱攷搱昳㘲㑦ㅢ㔹㍢挰摥攷搳〶ㅢ昲㍡ㅢ戶㈲攴ㄲ㑦㈱捦昲ㄴ㜲㠹敤攰ㄴ戸㡡ち昹て戰㈲攴愹㘰㈱㈴搷て戰て摦㘹㈸㙢㈱昳㉢昱挷捦昲㜳㐲㄰㌱㌷扦愲愸㌰ㄸ㡥㤴㠴戲昳㜳㑢戲㡢昳挲ㄵ昹昹㠱愵搶昳㐲戴〹㥣㙢㑢㈲攴㜹戶挴扡捣昳㔱摡㌹㐲㉥㠳㘷晣㈴〸㜹㠱攵㜹扢㔹晥㜸慡戳〴㈳㔱ㄷ㠱搷㐲捥㡦ㄱ昲ㅣ㔴㔲挸攵愸ㄷ㈱㤷㠲㠸ち戹挲戲㌱㐲㜲㐵㠲〸㜹ㅥ㍤㕦敡㘹㜳戹㘵㤷搱挶ち㜹㈵㔸ㄱ昲〴㑦㈱敢㍣㠵㕣㘹㕤㉤㠷慢愸㤰㔷㠱ㄵ㈱㔷㠰㠵㤰㕣㐵㈰㐲㕥㡣戲ㄶ戲戰㌸㌷㔴㔰㔹㤱ㅦちㄵ攵攴攳慤ㄵ敦愳挵搹攱㠲扣攲㐸㘱愴㈸扦㈲ㅣ戸挶㝡扥〴㙤〲搷摡㤲〸㜹㥤㉤戱㉥㤳敢つ㜶㡥㤰慢攰ㄹ㍦〹㐲摥㘰㜹摣㜵搰㝦挳搶戹ㅡ㈳㔱慢挱㙢㈱㉢㘲㠴扣ㄶ㤵ㄴ昲㈶搴㡢㤰搷㠱㠸ち戹挶戲㌱㐲摥っ㔶㠴㕣㐵捦户㝡摡摣㘶搹ㅢ㘹㘳㠵扣〳慣〸㜹㤴愷㤰㌳㍣㠵㕣㘷㕤摤っ㔷㔱㈱敦〴㉢㐲摥〲ㄶ㐲摥㘵慣㝣户愲慣㠵㉣㠹㔴ㄶ攵㠵昹ㄳ捥捥慦挸㉤〹㐲扤捡攲㤲捡愲挲摣㔰㔱㜱戰㈲㜰户昵扣ㄶ㙤〲昷搸㤲〸㈹慢づ㤸㐳搶㘵摥㠷扡㥤㈳攴晤昰㡣㥦〴㈱ㅦ戰晣愱慣ㅣ㑣戸〷㈳㔱㕣挲愰㠵ㅣㄷ㈳攴㝤愸愴㤰て愳㕥㠴扣ㅦ㐴㔴挸㐷㉣ㅢ㈳攴愳㘰㐵挸〷改昹㜱㑦㥢㈶换㍥㑣ㅢっ㐳㕥㑦㠰ㄵ㈱㠷㝢ち㔹收㈹攴㐶敢敡㜱戸㡡ち挹㔵〶㈲攴㝡戰㄰昲㐹㘳攵㙢㐲㔹ぢ㔹㔱㤴ㅤ挹捦愹挸㉢挹捦づ攵ㄷ攴攷㤴ㄴ㔷㔶攴ㄵ㔵攴ㄵㄶ㤶㐴㡡昲㐲㜹㠱愷慣攷つ㘸ㄳ搸㙣㑢㈲攴搳戶挴扡㑣慥㍤搸㌹㐲㍥ぢ捦昸㐹㄰㜲㡢攵㠷戱㜲㌸攱ㄹ㡣㐴㍤て㕥ぢ㔹ㄸ㈳攴ㄶ㔴㔲挸ㄷ㔰㉦㐲㍥〷㈲㉡攴㡢㤶㡤ㄱ昲㈵戰㈲攴ぢ昴晣㡡愷㡤慣㈹㘰敦㉦搱〶ㅢ昲㝡〳戶㈲攴㐱㥥㐲ㅥ攸㈹攴㥢戶㠳搷攰㉡㉡攴㕢㘰㐵挸搷挱㐲㐸慥㉢㘰ㅦ扥㌷㔰㌶㐲ㄶㄶ㐵㐲ㄵ㜹挱㥣散晣㜰㝥㔱㙥㑥㜱㐹㙥㈸㤲㤷ㄳ捡ぢ〶昳昲㈲㜹戹㠱㜷慣攷㌷搱㈶昰慥㉤㠹㤰敦搹ㄲ敢㌲戹〲㘱攷〸戹ㄵ㥥昱㤳㈰攴〷㤶ㅦ挳捡戱㠴て㌰ㄲ挵攵っ㕡挸慣ㄸ㈱户愳㤲㐲敥㐰扤〸戹〳㐴㔴挸て㉤ㅢ㈳㈴㔷㉡㠸㤰ㅦ搱昳挷㥥㌶㥦㔸昶㘳摡㘰ㄸ昲晡ㄴ慣〸搹捤㔳挸㉥㥥㐲㝥㘶㕤㝤ち㔷㔱㈱㍦〷㉢㐲㝥〶ㄶ㐲㝥㘱慣㝣㥦愳慣㠵捣て攷〴㜳㠳攱晣攲㔰㕥㔱㝥戰ㄸ㤷㥢㠵ㄵ㜹㤵㌹搹㌹㠵㐵搹搹愱㘰㑥攰㑢敢昹ぢ戴〹㝣㘵㑢㈲攴搷戶挴扡捣㙦㔰摡㌹㐲㝥ぢ捦昸㐹㄰昲㍢换㑦㘴攵攱㠴ㅦ㌰ㄲ昵〳㜸㉤愴㍦㐶挸㥦㔰㐹㈱㝦㐴扤〸昹㌳〸ち挹昵㑡敡㈷换挶〸昹㌳㔸ㄱ昲㔷㝡晥搵搳收㜷换晥㑥ㅢ昸㘲搲搵㥦㘰㐵挸㌴㑦㈱㤵愷㤰㝦㔹㔷ㅣ㔷㔴㐸㍡ㄴ㈱ㄵ㔸〸愹㔰㘰㍦扥㔴㤴戵㤰㜹㌹㈵㈵昸换扤ㄵ㠵㤱㐸㈸㍦㍦ㅣ愹挸挹捦㠷㥣攱㔰㜱㔱㑥㐵㘱㕥㌰㠰挷敢㍡攸㌴戴〹愴搹㤲〸㤹㙥㑢慣换捣㐰㘹攷〸改㠳㘷〴㘸㉥㈱攵㘲㔲慥㈳摢㔸㝥㍡㉢愷ㄱ摡㘱㈴捡〱慦㠵晣晥ㄷ昷㜵㘴〷㔴㔲㐸㍦敡㐵挸㡥㈰昰愳㠵㙣㘷搹㑣㔲收㥦㙡て㔶㠴っ㠰㔵ㅤ㍤㙤〲㤶摤㤵㌶㘸㈹慦㕤挱㡡㤰㕦㘰㄰昶㍡搲户ㅢ㑣㤲摥㔸㔲㥦挱㌴昱㉥㐱㈷敢㝦㜷㌴㡥慡扢ㅢ㔸晣攰㑦㑥㠰㠵扡㥤㡤㤵慦㉢捡㕡摤摣㈰摥㈸㜱扡つ攵ㄷ㠵昲㑢㈲〵ㄵ㤱攲㔰㑥㙥㈸㌷㤲㥦㕤㤰㕦ㄱ捡つ散㙥㍤㜷㐳㥢㐰ㄷ㕢摡㠳愵慥戶挴扡捣㙥㈸敤ㅣ㜵昷㠰㘷慡敢摢ぢ晤挴摦ㅣ摡ㅢ㕣散捤愱㝤挰㜸摣ㅣ摡搳㜸㜱㡥㘶㑡㡥㈱昴㠰愵攲ㅡ〹扤㉦㙣㡤搹ㄷ㝡愲㤲晢挲㍥愸㤷㝤愱ㄷ〸晣挸㑢㜵户㙣捣㐱㥤〵㔶昶㠵晤改㜹㕦㑦㥢㕥㤶敤㐳ㅢ昸㤳搷晥㘰㘵㕦㜸搳戵㉦㌴摦ㅣ㝡摤㔳昶摥搶㔵㝦戸㡡捡摥〷㉣㝥㜰戹つㄶ戲昷㌵㔶扥〱㈸㙢搹㡢㑢挲ㄵ㈵㜹㠵㐵㜹㈵㈵〵昹ㄱ㙣㘷㔷ㄶ㘶攷攳㤳㔳㈴㤴㤷㕢㔴ㄱ〹ㅣ㘰㍤ㅦ㠴㌶㠱㝥戶㈴〷㜵㝦㕢㘲㕤收㠱㈸敤ㅣ搹〷挰戳ㅣ搴㜲㍣㌷摦ㅣ㍡挸昲ㄵっ㌲㐴㈸挲㐸㔴づ㜸㉤攴搳㌱㐲㤶愰㤲㐲收愲㕥㠴㍣ㄸ〴㝥戴㤰㜹㤶㡤ㄱ㌲ㅦ慣〸㌹㤰㥥ぢ㍤㙤㡡㉤㝢㈸㙤攰㑦㕥〷㠳ㄵ㈱㌷㜸ち戹摥㔳挸㐳慣慢㔲戸㡡ち㌹㄰㉣㝥戰愸〰㉣㠴攴挲〵昶攱ㅢ㠶戲ㄶ㌲扢㈰㤲㔷㠸慢捦攲㠲㡡㠲晣晣挲愲ㄲ㕣㠳收ㄶ㠷昳ぢ㑡㉡㠲㈵挱挲扣挰愱搶昳㜰戴〹っ戶㈵ㄱ㜲㠸㉤戱㉥㜳㈸㑡㍢㐷挸㔲㜸昶ㄲ戲捣昲晣愶㔷㠷㝦㑥挸ㄹ㡦㤱愸攱攰戵㤰㜷挷〸㌹〱㤵ㄴ㜲〴敡㐵挸㠹㈰昰愳捦捥㈳㉤ㅢ㜳㜶ㅥ〵㔶㠴㥣㐴捦㘳㍣㙤挶㔹㜶ち㙤攰㡦㔳ㄹ搵〴换㑥〵ㅢ搵㘴㈲㔸晣攰捤〴㉣㌴㌹摣㔸昹愶愳慣㌵㠹攴㐶㈲ㄵ挵㠵㌹戹〵㤵挱晣㤲散㜰㌰慦愲㌰㤴㕢ㄲ㉥捣愹㉣捥㈹㉥慡っ㑣戲㥥㡦㐰㥢挰㘴㕢㥡挱搲ㄴ㕢㘲㕤收㔴㤴㜶㡥㈶搳攰㔹㌴攱㌹搵攱㐹搴攱㜹㌳㌰摤昲㔸敤㠱扦昰㐷㌸づ扣㥡〱㕥㙢㜲㙤㡣㈶ㄵ愸愴㈶㐷愲㕥㌴〹㠱挰㡦㍥戸㡥戲㙣捣挱㜵㌴㔸搱㈴㑣捦挷㝡摡ㅣ㘷搹㤹戴㠱㍦㜹㔵㠰㤵㠳敢㜲捦㠳敢㔲捦㠳㉢㘴㕤捤㠶慢愸㤰㤵㘰昱㤳攲㔴㠳㠵㤰㘱㘳攵慢㐱㔹ぢ㤹ㅦち收㠵ち㜱㜲㉣づㄷ攴㤷㤴〴㜱㌱㤲㔳㔴㤰㠷换㤳愲㤲散㤲捡㘰㈰㘲㍤搷愲㑤㘰愶㉤挹挱㌵换㤶㔸㤷㔹㠵搲捥ㄱ昲㜸㜸昶㍡戸㘶㕢扥㤱㐱捥㈵捣挳㐸㔴つ㜸㉤攴㌹㌱㐲捥㐷㈵㠵慣㐵扤〸戹〰〴㝥戴㤰㜵㤶㡤ㄱ㜲づ㔸ㄱ昲㘴㝡慥昷戴㘹戴散愹戴㠱㍦㜹捤〳㉢㐲㉥昶ㄴ昲㜴㑦㈱㑦戴慥ㄶ挱㔵㔴挸昹㘰昱㤳攲㉣〶ぢ㈱ㄷㄸ㉢摦ㄹ㈸㥢㈳㌲㤲㥤㥦ㄷ捣㉥〸㘷㔷ㄶ攷攷㠷㜰攷㌵㉦㍢㠴㌷扢㕣㍣ㅡ㉢㈸㠸ㄴ〴㑥戲㥥捦㐴㥢挰挹戶㈴㐲㥥㘲㑢慣换攴昲㠵㥤㈳攴㘹昰散㈵攴㐲换㥦挴㈰㑦㈶㥣㠷㤱愸㐵攰戵㤰つ㌱㐲㉥㐳㈵㠵㕣㡣㝡ㄱ昲〲㄰昸搱㘷挹㌳㉣ㅢ㈳攴㤹㘰㐵挸㡢攸昹㙣㑦㥢㝦㔸㜶〵㙣㌰昵㈷愵㉢㕥㙡㈹㔸ㄱ戲摡㔳挸攳㍤㠵㍣搷扡扡っ慥愲㐲㥥〷ㄶ㍦㈹捥攵㘰㈱攴昹㉣攰㕦㘰㤹摤戸挰㙥㕣㘸㌶㌲㉦挲挶捥㤱㘳㌹㍣㝢挹戱挲昲愷㘳㘸捥㈲挲㌵㑣摡㈵攰戵ㅣ挱ㄸ㌹慥㐳㈵攵戸ㄴ昵㈲挷昵㈰昰愳㡦慢换㉣ㅢ㈳挷攵㘰㐵㡥ㅢ攸昹㑡㑦㥢慢㉣扢㥡㌶昰㈷慦㙢挰㡡ㅣ㐷㝡捡㜱㠴愷ㅣ搷㕡㔷户挰㔵㔴㡥敢挰攲〷㝦〱〳㉣攴戸摥㔸昹搶愲慣㡦慢㠲㠲㘰㈸扦戸戲㈴㥣㔳㔹㤲㕦㤴ㄳ挶愵㐴㐹㌰扢愸㈰㔲ㄴ〹ㄷ攴㐶㑡〲慢慣攷摢搰㈶㜰㠳㉤挹㜱㜵愳㉤戱㉥㜳㌵㑡㍢㐷挸㥢攰搹㑢挸㌵㤶㍦㥢㐱㉥㈱摣㡢㤱愸㕢敤戸敥㘳挹㈶昶㌶戰㤲搸㌱慥挴晡ㅥ㠰㐹昲㙢戵㔱㥥搹扥摤晡㝦〸㡤愳搹扥〳㉣㝥㔲㥣㠷挱㈲摢敢㑣搹昷〸捡㍡摢㐵昹戹戹愱㤲挲㜰㕥ㄱ戲㥤㔳㠸㔴ㄷ收㔶㔴收㠵㜳㜲㜲昳㡡㐲挵㘱摦愳㔱搳晣愲散㡡挲挲愲㄰㤴挱㐵㝢㐹㔱戰戲㌰ㅣ挹㉥慡㈸愸捣捤㉤愸㈸㉡昰㍤ㄶ㌵捤愹捣挳㠳攲捡攲〸㙣昱㌰愳愰愴戲愰〸户摦㜲㠲ㄵ戹㜹㤵愱㘰㠱敦昱愸㘹㄰ㅦ㙢㡡㠳㜸敡㤸㥢㥢㤷ㅦ挶攷捣摣㘰㈴㔴㤴㤷㡦愷㔸ㄵ攱㥣挲㡡挰㥤㌶㠸昵㘸攳㌴ㄱ㌶㄰㥥〰〴敥戲㤵ㅢ㐹㙤㈲㍣㐹㜸㡡㤵㜷摢㑡戱㤷㤶攲㠳㉤㌳敥㐳攵扦㥤搳㘳愶敦挳㤴摦㌴ㄳ㔲㤵㉡㥣摥愶㑤挲搷戵挷捥敦挱捣㝥㤹ぢ挴㤹㐰㍥ㅦ㌱愳〰愲戵㍣㕤挷㌶攲扥搱㍣㌱㠴㡤㜹㔶㜴㥥㘳㔰捦〳晣㠱晢㑤㔴扥ㄷ㔰㡣扦㜰㝤ㄱ㕣散㠵敢㑢㘰ㄲ㉦㕣㝤㉦㠳摥ㄵ㤳ㅤ昰㔷㜰愶搷搵捦慥愸慢㥢捤㤹㌰㠱〷㙣捥捥㘷户换〸慦挱㔴晦愵㥣㠷㔰愹㑦㐷〷㈰愰收㈷攵㙦挲㠲愷愳㠷㔱捦〰㥣户㐰攰㐷㥦㡥ㅥ戱㙣捣改攸㔱戰㜲㍡㝡〷㠶敡㜱㑦㥢㈶换扥㐷ㅢ昸㤳搷ㄳ㘰攵愸改改㍡㙡㥡慦㙡㝢㜸ㅥ㈰ㅢ慤慢㙤㜰ㄵ㍤㐰㌶㠱挵㑦㡡戳ㅤ㉣づ㤰㈷㡤㤵㙦〷捡收㜴㔴㤸㠳ぢ搸散㠲ㅣ㕣〰攵㔷㘴㐷昰搹ㅢ搳ㅤ昲ぢ㈲搸晢戱㡢㔶〶㥥戲㥥㍦㐴㥢挰㘶㕢㤲搳搱搳戶挴扡㑣慥つ搸㌹愷愳㘷攱搹敢㜴戴挵昲㉢ㄸ攴挵㠴捦㌰ㄲ昵㍣㜸㉤攴㙥㌱㐲㝥㠱㑡ち昹〲敡㐵挸㉦㐱攰㐷扦捤扦㘸搹ㄸ㈱㕦〲㉢㐲㝥㑤捦慦㜸摡扣㘶搹㙦㘹〳㝦昲㝡搳戲摦㠱㡤㙡昲ㄶ㔸晣攰捦扥㠰㠵㈶㙦ㅢ㉢摦て㈸㙢㑤㑡㑡昲昳昰挷扤㜲㡡㜲昳㐳昹ㄵ〵㐵挵㜹挱㐸㈱ㅥ㥣ㄶ㐵㜲昱㍥㔱㄰ち扣㘳㍤晦㠸㌶㠱㜷㙤改㈷㤶摥戳㈵搶㘵㜲戲晦捥搱㘴㉢㍣㝢㘹昲㠱攵慦㘰㤰㔷ㄲ晥挴㐸搴㜶昰㕡ㄳㄵ愳〹㌳㐳㑤㜶愰㕥㌴㔱㈰搰㐰ㅦ㕣ㅦ㕡㌶㐶㤳㡦挰㡡㈶㘹戰㔵ㅦ㝢摡㝣㘲搹っ摡挰㥦扣㍥〵㉢〷搷慦㍦㌷摦㍥㙣㍥戸㝥〶㥢㜸愷昰㌳敢捡㠱㉢晣挸㉢昰㌹㔸晣愴㌸㕣戸〴㈱扦㌰㔶扥㜶㈸㙢㈱㉢㈳㐱扣㍤攰㙤㍤㤴ㅢ挴㥣㠵㐸㜱㜱㘱〴㡦挰㠳㜹㤱㈲㑣㉡㉢ち〵扥戴㥥摢愳㑤攰㉢㕢㤲㠳敢㙢㕢㘲㕤收㌷㈸敤ㅣ㈱扦㠵㘷㉦㈱扦戳晣戵っ昲㍡挲㙥ㄸ㠹晡〱扣ㄶ昲㌳㘴慢昹㉣戹㍢㉡㈹攴㡦愸ㄷ㈱扢㠰㠸ち昹㤳㘵㘳㠴晣ㄹ慣〸搹㡤㥥㝦昵戴昹摤戲㝢搲〶挳㤰搷㥦㘰㐵挸㡦㍣㠵摣攱㈹攴㕦搶㔵㜷戸挲㡦ㄶ㌲〵てち㔰㤱攲㘴㠱㠲㤰捡㍣㌸昰昵㐰㔹ぢ㔹㤱ㅤ㉡慥捣㠳㡥愱㔰㘵㝥㐱戰愲㈴愷〰戳㑦㡡㠳㠵㈵攱摣晣㠲㜰㘵㈰搵戴㜱昶㐵㥢〰攷晢㑢ち㐴㐸㤹昸㑦晦慣换攴挴晦㥤㈳㈴㤷ぢ㜸〹搹挶昲慢㌹㠸㥢〸〷㘰㈴捡〱慦㠵㝣㍤㐶挸晥愸愴㤰㝥搴㑢ㄴ〷㠲㠸ち搹捥戲㌱㐲戶〷㉢㐲ㅥ㐴捦ㅤ㍤㙤㘴㐲㍦㝢捦愱つ㌶攴挵〹晤㈲攴ぢ㥥㐲㍥攷㈹㘴㈷摢㐱〱㕣攱㐷ぢ戹ㅢ㔸ㄱ戲㄰ㄴ㠴散㙣慣㝣㐵㈸㙢㈱ぢ㜳㌱摢㈴㍦㍦㉦〷㌳㌹昳昳ち昰〱づて搸昲昳㉡戲㉢㐲挵㠵挵搹㠵㠱摤慤攷㘲戴〹㜰搶㝦戳㤰㕤㙤㠹㜵㤹㥣晥扦㜳㠴攴愲〱㉦㈱戹㡥㐰昸戵捣㈲晦愰㤵㌳〴㈳㔱㝢㠳搷㐲慥㡦ㄱ戲ㄴ㤵ㄴ㜲ㅦ搴㑢ㄴ㘵㈰愲㐲㜶户㙣㡣㤰㔹㘰㐵挸攱昴扣慦愷㡤㑣敢㘷敦㈳㘹㠳つ㜹㜱㕡扦〸昹愰愷㤰昷㝢ち搹摢㜶㌰ㄶ慥昰愳㠵攴㜴㝦ㄱ㜲ㅣ㈸〸搹搷㔸昹挶愳慣㠵㉣〸ㄵ〵㈳㌹㌹㤵戸㠴慡捣㉦挶敤㈶㝣挶挶㈷㜲㑣㐸挹㉥挴㠷昱扣挰〱搶昳㘱㘸ㄳ攸㘷㑢㜲㐴昶户㈵搶㘵㜲ㄱ挰捥ㄱ㤲㑢〷扣㠴攴㙡〲攱敦㘲ㄶ敦㈶㑣挳㐸ㄴ㈷慤㡢㔰搳㔱愲〱㕦〱捥㕣攷㐳㔱攷〸戰捥っ挲㤱㠴愳〸㐷ㄳ㡥〱㜴㐸つ㔸㈱㔵扥昵㘳ㄹ戴㑥〹ㄴ㠲㤵慣㤶搳㍣㉤挰㐹搱攲昷㌸晡〸ㄲ㉡〸㈱㐲㈵㈱㑣㠸〰晣ㄹ㥣㉢㝤㐸昲㍦攳攴㥡㝡摣て昳攴昱㠷㈹挲㤵昸㘲昸㌹昸㐳㉥ぢ㠶搷㌶搶昳换〱㔲搲昰挵昰㝡㐵㜲㝡敡挱㝦捦ㄷ慦㍣昸ㄷㄵ昸捡戸〲扢搴晦㠵ㅦ㘶扡昹㕡㠴ㅥ扢攳攵捣㐲扣ㄹ㠳㄰慥攷㕦㔳搱戳愷㈷攳ㅢ昱挳〳捡㑡㡢〶っ㥦ㅦち㔷昳㉦搷㘰㡥㌵て慤捥㌵愳ㅢ戰ㄹ慥㙦㤸㔲㌷㔴晥㥥ち慦㍢㜶戱搳戰晢搵㡣㥣㕢㔵㠹㍣散搷捣搸㍦㕢㘴㥢㑤愸㡦戶敢搰㙣㠵㍦戹搰戹戹攴㕡搱扤㘷㌳㡢扦㔱㠵㠴㠷㉢慤挷〶慣搷㑡㑦㑤㔳㥥摦㐸㌰慣慥㈶㔸㔵㍢㘰㐴㝤挸㍡ㄸ㕥㍢户㠶㈹搸搳攳敢昸㑢慢ㅡ攵㑦㕡散㠵㝡攵㜰愶扣敦㜸㈴捡㌷愸搷愴㕥㌹㐵ㄹ㤷㐰㡡晦㐵㉦戱愹㘷㥦晣攷㜷慡攱㔲昱㄰愵㍦㔲㡡㜳搱㝢㘱挳㜹㠱昰㈲攱㈵昲ㄷ挲攰㕤慣㉣㉦摤戴敥㉦搵昵㥤㜱㡦捦ㅣ晥㑣捦㐵㡤慦慢ぢ㑣挵㉢㜳晤㘳户摥戳㜴搸昲㠳挷㥤昹昶ㅥ㤳㈷慢㤱昰㈴〷㔷㍤㍡㠹ㅥ㕣㥣扤㉥〷㐱〳㔸㠷㕦昱敦捣㈵捣㈳㥣㐸㤸て攸㤰慡挶搸收㌱挷搴㌸戰㜲㑣㥤㐴慢戴〰㘷㥣㡢扢㤳搹昴ㄴ挲愹㠴搳〸ぢ〹愷ㄳㄶ〱晣㡡ㄳ搱㜹㕣愹搳㌰㘶敥捣戲晦㥤㠱㍡㌵ㄹ㌴昷㐱攵㜰㜶扡敦㉣㜰㙤〶昵ㅡ㍡ㄴ戹㔶㈷挱搲收挷敦㉣愱㌹㈷㝡㝢㘵㘹慥㐹㐶㐲㤶ㅡ㑤㐵挱㥦换㔷摣昰搴慦ㄳ搶扥㝣㙣攳昷昷㉤扡㕣ㅤ挳㑥㤹攵昳攱㌷㥡愵㘳挱㑡㔸换挰㍡ㄷ㄰㉥㈴㕣㐴㔸㑥㔸〱㐰㤶㡥戳捤㘳戲㔴〱㔶戲㜴〹慤搲〲㥣捥㉤敥㉥㘵搳换〸㤷ㄳ慥㈰㕣㐹㔸㐹戸ち攰㔷㌳㘱㉣㔹ち㘱捣搱㉣㕤㠳㍡㔵㠵㉡㥤㈵㑥晤昶㕤〷㡥㔹ㅡ捥㉣㤵挷㘴㘹ㄵ捤㌹㡢摡㉢㑢㐷㈶换搲っ㔳㜱昲㤱ぢ户㍣㤳㜷摢㠸ㄵ愳〷㍦㜲昹挲晢搶愹〶㜸㤲㉣摤っ扦搱㉣㌵㠲㤵戰㙥〱敢摣㑡㔸㑢戸㡤㜰㍢攱づ〰戲㌴捦㌶㡦挹ㄲ愷㔹㑢㤶敥愴㔵㕡㠰㜳愵挵摤㕤㙣㝡㌷攱ㅥ挲扤㠴晢〸昷ㄳㅥ〰昸搵愹㌰㤶㉣㡤㜲㘷改㈱搴愹㠵愸搲㔹㍡つ㕢扥㐷挰㌱㑢㘵捣搲戰㤸㉣㍤㐶昳㈵㌰昲捡搲攰㘴㔹㍡搴㔴搴㍥晦挶搲㍢搳㕥㉢扤昴戳〷㑦扤晤攱昲㜹敡ㅣ㜸㤲㉣㙤㠴摦㘸㤶㤶㠲㤵戰㌶㠱㜵㥥㈴㍣㐵搸㑣㜸㥡昰っ〰㔹㍡捦㌶㡦挹ㄲ攷㌰㑢㤶戶搰㉡㉤挰㠹挸攲敥㌹㌶㝤㥥昰〲攱㐵挲㑢㠴㤷〹慦〰晣㙡〵㡣㈵㑢〷扡戳昴ㅡ敡搴㈵愸搲㔹扡ㄸ㕢扥㌷挰攱攴㌶㤱㐹敡ㅢ㤳愴户㘸㝤㌵㙣扣㤲搴㉢㔹㤲㝡㥡㡡晤㜷㜴晡散愳㝦㥤㌶㘱㑤㤷挶ㅦ搵扤㙦㥤慣慥㠵㈷㐹搲㔶昸㡤㈶改㍡戰ㄲ搵〷㘰㥤㙤㠴敤㠴ㅤ㠴て〹ㅦ〱㤰愴㔵戶㜹㑣㤲㌸㍦㔸㤲昴㌱慤搲〲㥣攴㉢敥晥挵愶㥦㄰晥㠷昰㈹攱㌳挲攷㠴㉦〰㝥㜵ぢ㡣㈵㐹扢扡㤳昴ㄵ敡搴㕡㔴改㈴摤㡡㉤摦㌷攰㤰愴㈳㤸愴㡥㌱㐹晡㡥搶昷挰挶㉢㐹㑥戲㈴戵㌵ㄵ㍦ㅥ晣昹捣㠷户㍤㔰㝡敦扤〷ㄴ散愸摥昷㕡㜵ㅦ㍣㐹㤲㝥㠱摦㘸㤲敥〷㉢㔱晤ち搶昹㡤昰㍢攱て挲㥦㠴扦〰㐸㤲捣挴攵㐹㉤㈶㐹㥣㝢㉢㐹㔲㜰㠲㈴㍤㙥摤愵愲散愴ㄱ搲〹ㄹ〴ㅦ愱つ愱㉤挰慦搶挳㔸㤲昴搳㑦慥戳㤲ㅦ㜵㡡㔳㘲㜵㤲㥡戰攵㙢て㡥挷摢㌰㘶改㍢㔸㌷㥦扢㍢搲晣ㄹㄸ㜹㘵改㑢㤸㝡扥挳㝤㘱㉡晥㕣㝡收敥㠷攴㡦ㅤ㝥昱㌱㤳㥦ㅦ搶扢攴て戵〵㥥㈴㑢扢挱㙦㌴㑢捦㠱㐵㌹挵改っ㜴㜶㈷㜴㈱㜴㈵㜴㈳散〱㐰㤶㘴㥡㙢㐲㤶㌸戱㔵戲戴ㄷ慤搲〲慦㔹㜷㝢戳改㍥㠴敥㠴㉣㐲て挲扥㠴㥥〰扦㝡ㅤ挶㤲愵昷摣㔹摡て㜵㡡昳㑤㜵㤶摥挰㤶慦㌷㌸散㑡ㄳ㤸愴户㘲㤲搴㤷搶ㅦ挰挶㉢㐹慦㈶㑢搲㉢愶攲搲愷㜷㝣摣㙦攰攸搲㐷㑢㉦㕥㕦晦换晤㌷㈸㑥㈰㤵㈴ㅤ〴扦搱㈴敤〰㡢㜲㡡㤳つ㜴㜲〸戹㠴㍣㐲㍥愱〰㠰㈴挹ㄴ搲㠴㈴㜱搲愸㈴愹㠸㔶㘹㠱㑦慤扢㘲㌶㉤㈱ㅣ㑣㌸㠴㌰㤰㌰㠸㜰㈸挰慦㍥㠳戱㈴㘹㠳㍢㐹㐳㔰愷㌸㤷㔳㈷改㜳㙣昹㑡挱㜱㔷ㅡ挹㉣㍤ㄶ㤳愵㘱㌴晦〱㐶㕥㔹㝡㌰㔹㤶ㅥ㌰ㄵ㌳捦ㅤ戸㙤攸攰㡦挶㕥昸㘰敥㐳㤹换㤶摥慡㌸㍢㔳戲㌴〶㝥愳㔹攲ㄴ㑤㤴㌱㑦ㄷ攸㡣㈳㡣㈷ㅣ㐶㤸㐰㤸〸㐰㤶㘴㝥愶㍢㑢昴ㄵ攰㡣㑣挹搲㈴㕡愵〵㜸㉤㡡㉤慣㤸㘳搳㈹㠴愹㠴㘹㠴改㠴㈳〸㌳〰昸ㅢ挵㌰㤶㉣摤攴捥搲㔱愸㔳㘹愸搲㔹㑡挵㤶敦ㄸ㜰搸㤵づ㘳㤲㔶挵㈴愹㥣搶㥣捣攸㤵愴慢㤳㈵改㉡㔳㜱昱慡挵㔳㘷攷晥㌸晣慡扢慦㝣晤㤵ㅤ慢㔶愸づ昰㈴㐹ち挳㙦㌴㐹ㅤ挱愲㡣ぢ㈷愰㌳㤳㌰㡢㔰㐵㌸㥥㌰ㅢ㠰换㌵㍢攷㐶挹㈴㐸戶戰っ戶㔳〲㥣昶㈸搹慡愱㜹㕡㘰㜷敢户㤶㍥敡〸㜳〸㈷㄰敡〹つ㠴㐶㠰㕦㜵㠱戱㘴敢㕣㜷戶收愱㑥㜵㐳㤵捥㔶㔷㙣昹收㠳搳ㅦ㥡昲㜳搴㤲㤸㜴㥤㐴㜳捥㕡戴㘷㉣搵〳〵慦摣㉤㑥㤶扢㐵愶㘲敡昳㌷扥㝢挴ㄹ搳㐶㉥㍥慤捤昵㕢扦捡敤慥㝡挲㤳攴敥㜴㜴ㄲ捤㕤㉦戰㈸攳〳㌲搰㔹㑣㌸㠳㜰㈶攱㉣挲搹〰散㘰㌲㔷㤰㠶㌱㘷㜴捥づ㤴㤴晤㠳㔶㘹㠱晥搶摤㌹㙣扡㤴㜰㉥攱㍣挲昹㠴㘵㠴ぢ〰㝥㜵㈰㡣㈵㘵㜳摣㈹扢〸㜵敡㈰㔴改㤴つ挰㤶㙦〵㌸愶慣㤴㝢㔸㜵㑣捡㉥愱㜹ㄱ㡣扣戲㌴㌳㔹㤶㈲愶愲摢挵㉢㕥㤹戸愴戸㜴摤㕥㕢ㄷ搴㙦㕤戹㐲㤵挰㤳㘴㘹㈵晣㐶戳挴戹㜸㈸攳〳㌲搰戹㥡㜰つ攱㕡挲㜵㠴敢〱挸㤲㑣挴㑢挸搲愱㘸㉥㔹扡㠱㔶㘹㠱㔲敢敥㐶㌶㕤㑤戸㠹戰㠶㜰㌳攱ㄶ挲慤〰扦㉡㠳戱㘴㘹慡㍢㑢户愱㑥㜱㐶㥣捥搲㌰㙣昹敥〰㠷挳㜰㉡㤳㜴㜸㑣㤲敥愴昵㜸搸㜸㈵㘹㕣戲㈴㡤㌵ㄵ挳敥摢戸搷愸昱㌷㤴㕥戶攸㠵㕤㔳摦昷昵㔷ㄳ攰㐹㤲㜴㍦晣㐶㤳挴㜹㙥㈸攳昳㌱搰㜹㤰昰㄰攱㘱挲㈳㠴㐷〱㐸㤲㑣㜲愳㘱捣搱挷㘹㙤㤲愴挷㘹㤵ㄶ攰㠴㌶㙣愵㌸敢搹戴㠹戰㠱昰〴㘱㈳㘱ㄳ攱㐹㠰㕦㑤㠳戱㈴改㘰㜷㤲㌶愳㑥ㅤ㠱㉡㥤愴改搸昲㍤〳づ㐹ㅡ摢㉢扦㔰ㄵ挶㈴㘹ぢ慤㘷挰㈶㝡昰ㅤ㠷㠲㔷挶㜲㤲㘵㉣摢㔴㕣㕡㔷晥捤昵晢㜴㥦㜰㔹挶㔵〳ㅦ慢散㝣扢慡㠰㈷挹搸换攸㈴㥡戱㄰㔸㤴昱㔹ㄹ攸扣㑡㜸㡤昰㍡攱つ挲㥢〰㘴㑣愶愰搱㌰收攰攳愴㌳挹搸摢戴㑡ぢ㜰收ㄸ戶昰晤㔴㙣晡㉥攱㍤挲晢㠴慤㠴て〸摢〰㝥㔵つ㘳挹㔸㜷㜷挶㜶愰㑥搵愲㑡㘷慣〶㕢扥㡦挰昱攰ㅢ挱晤㙡捦㤸㤴㝤㑣昳㜹㌰昲捡搲敥挹戲搴搹㔴慣㍥敦慣昱㑢晡㜴㈹㕤昹挹㉥㔹㈵搷慦㥣慤收挳㤳㘴改㜳昸㡤㘶㘹〱㔸㤴昱㘱ㄹ攸㝣㐹昸㡡昰㌵攱ㅢ挲户〰㘴㐹收㜷㈵㘴㠹㌳扡㈴㑢摦搳㉡㉤戰挸扡晢㠱㑤㝦㈴晣㐴昸㤹昰ぢ攱㔷挲㙦〰扦㕡っ㘳挹㔲扡㍢㑢㝦愰㑥㜱愲㤵捥搲ㄹ搸昲晤〵づ晢搵ㄴ㈶㈹㈵㈶㐹ち㕦ㄵ愸捥㠳㡤㔷㤲㝥晢㌱挹㘷捥㕦㑤挵戰慤㕦㕥㔹㜶昳昶㈱㔷ㄴ㘶㜶㝤㜱㝡昹〷㙡ㄹ㍣㐹㤲摡挰㙦㌴㐹ㄷ㠰挵〸昰㘱ㄹ慣攳㄰晣㠴㜶㠴昶㠴づ〰㈴㐹收㑥㈵㈴㠹戳愵㈴㐹㤹㌴つ㠸㘹攰㌲敢㜳ㄷ㤲扢ㄲ㍡ㄱ㜶㈳㜴㈶散㑥攸〲昰慢换㘱㉣㤹晡〴〳㡦摥㌴攸㠶㍡挵㤹㐷㕥戱㝦㤸㉣昶ㅤ愶攲慤昲㔷㐳㙦㉤㕦㔲扡攲㤰㕢扡㙤㥦戱晥㘹㜵ㅤ㍣㐹散摤攱㌷ㅡ晢昵㜶㥣㔹ㅣ㑥て挲扥㠴㥥㠴㕥㠴晤〰㠸晤〶摢㍣收㌰攲搴㈴㠹扤㌷慤搲〲㥣㕦㈴愹散挳愶㝤〹〷㄰晡ㄱ晡ㄳづ㈴っ〰昸ㄵ愷ㅤ㐹搸㉦扢挳捥㐶㥤扡つ㔵㝡〷攱㕣㈴㕦㉥㌸散㈰㤳戹㠳㍣て㘳㝢㤶昱㍢昹戴收慣ㅥ慦㈴㍤㥤㉣㐹㥢㑤挵㍦敢摢㉤扢㝤改㉦㘵换搶㥥㝢敡㤲㉥㍤摦っ㜰㐶㤰挴㜳㌰晣㈲㥥㠷㔰㤶㜸づ㐱搹ㄹ㐸ㄸ㐴㌸㤴㌰㤸㌰㠴㌰ㄴ㠰慦㥥㠰戱挴昳戸㍢㥥㌲搴㈹㑥㜵搱昱㜰戶㡦㙦㌸㌸挴㔳搶㉢㍦㈷攳㘱ㄸ挷晦戹㑦昹㐳捣收㤶㈷愷扤昰〶㙡㝤㕤昵攸㑡ち搸㝣ㄷ㤸㜷攰㜸慢ㅡ摦㜳挱㑥㥡愲㥤㜰㥥㤰㙦戴敥㘴ㄸ㍡㔱昷愳ㄳ㜶㐴摤昱挷㔶㘹扤㈱㙡捤愹㐲扥昱摡㝡㌸慤敦㌶搶捣㠴摦㤹㐰敢㈷愲搶㥣㉤攴㍢ㅣ㕣挶愰㕥攳㝡ㄵ㘵摣〱攳㤶㙥愶㘲㔲㡢晢㤶㙤㘲〴攸〴扤㑣㘶㉦ㅢ攱㥢挳㘴挷㡡ㄳ㠸散㤸ㄵ㈷ㄲ戱挰㜰ㄵ㈷ㄴ戱㕢戶捣㝣づ〵晣挸㡢㠴昹昷昵㘰戳㌱㐴晦㙥㙢㝥〷捣敦摤㠶㘴㍥㙦㕢ㅥ愳㝡㉣ㅦ㥡戱㙤攱戵摦摣㝡挸㝥㔷慦晢换晣㕥㠸㤶挷敤㝥攰戹㐳昱㍢㙢㐶搵ち晥づ昴ㅥ㜸挵㔰挵㔹㌸捤㍢摣戵ㄸ㤴扥捦㝢ぢ〶攵㜹ㄵ㝣戳愹昸㜲捤㥡昷〲㥦㝥㌷晡扡㉤㐵㘷㑣摦攷慥㝦愹㌷攱㠹㈹㜱㘶㈰晥攸㔱昹ㄶ㔸搹敤㡥〴敢ㅣ㐵㌸㥡㜰っ攱㔸㐲㌹〰㐷愵捣搷㘱昳㤸愳㤲㌳㜴㘴㉦づ搲㉡㉤戰捤扡慢㘰搳㄰愱㤲㄰㈶㐴〸㌳〹戳〰㝥戵ㅤ挶戲ㄷ㕦㠶㌱㐷㑦㐶挷愳㑥㝤㠸㉡扤ㄷ敦挰㤶慦ㅡㅣ昶攲改㍣㉡㔷挰戸昹愸慣愵㌵㈷户㌴㈷愹昹㘶昸戲㘴㐹㍡摦㔴ㅣ㜹搶㈱攳㈶㥤㌹㜹挴慡挷㥡慡㍦㡥昴㔹慢扥㠰㈷㐹ㄲ扦㌹㌶㥡愴㉦挱㑡㤲收㠲㜵收ㄱ㑥㈴捣㈷㉣㈰㥣〴㐰㤲㘴㉥㑣㐲㤲㌸晢㐵㤲㜴ち慤搲〲㥣昷㈲敥㑥㘵搳搳〸ぢ〹愷ㄳㄶㄱㄶㄳ捥〰昸ㄵ愷挳㐸㤲㑥㜱㈷改㉣搴㈹捥㘴搱㐹攲ㅣㄹ摦ㄲ㜰晡㉡ㄸ〷搶晣㤸㉣㥤㐳昳㥦㘰㘴ㄳ愷㌸昷挴㉢㘵つ挹㔲㔶㙦㉡摥扦㜵㜹敦㐵晥捤㘳㤶愷扦摡ㄴ㔸摡㌰㕤愵攰㕥㤲愴散〲㜴ㄲ㑤㤹〲㉢㌱㕥〸搶戹㠸戰㥣戰㠲㜰㌱攱ㄲ〰㔲㤶㘶㥢挷散㔷ㄹ㘰㈵㘵㤷搱㉡㉤挰ㄹ㈶攲敥㜲㌶扤㠲㜰㈵㘱㈵攱㉡挲搵㠴㙢〰㝥攵㠷戱愴㉣攸㑥搹㜵愸㔳敤㔱愵㔳搶づ㕢扥㔵攰戰㕦㑤攳㝥㜵㑣㑣挶㙥愴㌵攷㜵㜸㈵改㠸㘴㐹㥡㙥㉢捡摥㍤㙦攵ㅤ敦ㅣ昶挸昰挲㤳㥥㌸攱㤳愳搵敥昰㈴㐹扡ㄵ㝥愳㐹敡〲㔶愲㕡ぢ搶戹㡤㜰㍢攱づ挲㍡挲㥤〰㈴愹㥢㙤ㅥ㤳愴㍤挱㑡㤲敥愶㔵㕡愰扢㜵㜷て㥢摥㑢戸㡦㜰㍦攱〱挲㠳㠴㠷〰㝥㤵〵㘳㐹搲〸㜷㤲ㅥ㐱㥤摡ㄷ㔵㍡㐹㍤戰攵㝢っㅣ㤲㜴㈴㤳㔴ㅡ㤳愴昵戴㍥〰㌶㕥㐹ㅡ㘴㜳ㄱ晦㈴㙡愰愹愸敤昰摢搰ㄵ㌳晣㘳慦搸㍦扦扡㜷攳攸㌲搵ㅦ㥥㈴㐹㑦挲㙦㌴㐹〷㠲㤵㈴㍤〵搶搹㑣㜸㥡昰っ攱㔹挲ㄶ〰㤲㈴㔳㉣ㄲづ扥ㅣ㌴㤷㈴㍤㑦慢戴〰㘷㐶㠸扢ㄷ搸昴㐵挲㑢㠴㤷〹慦㄰㕥㈵扣〶昰慢㐲ㄸ㑢㤲晡戹㤳昴〶敡㔴㌱慡㜴㤲㡡戰攵㝢ぢㅣ㤲㜴㌸㤳搴㍢㈶㐹敦搰㝡〸㙣扣㤲戴㙦戲㈴昵㌰ㄵ㙤扦㕥㕤戶昲攰㈵㐳搷㝣㍢慦㙥扦㍦慥㜸㕤㤵挲㤳㈴㘹ㅢ晣㐶㤳㔴〶㔶愲摡づ搶搹㐱昸㤰昰ㄱ攱㥦㠴㡦〱㐸搲㜰摢㍣㘶㑦攲㠴〵㐹搲㈷戴㑡ぢ㡣戵敥晥㠷㑤㍦㈵㝣㐶昸㥣昰〵攱㑢挲㔷〰扦ㅡ〷㘳㐹㔲挰㥤愴㙦㔰愷㌸㡦㐰㈷㘹㍣戶㝣摦㠱㐳㤲㘶㌰㐹敤㘳㤲昴〳慤愷挱挶㉢㐹㙤㤲㈵挹㘷㉡戶つ扥㜵㠹昳㘹昵㤰㌳㝥㍥昸愵挸攲捦㔷〷愶挳㤳挴昳ㅢ晣㍡扦ㄳ晥〰昸搵ㄱ愸㤰戱愶㥡戱㌲㠳㝥㌵挳搲捡搰晣㙢㘶㝥挵改〴㘲㥤㘲攸摤㠵㍥捡搲㝦晤愰摦户扡〸捤㈹〷㘲晤愷愱晢〸捤㐹〸㐲晦㘱攸ㄹ愴㌳捡㐱㝢㝥㤸攱㤴㠱㠶〱㘵昸晡昱㐶㝥〷㕣戸㐱㠸㑣㌴捡㠸昰㤹㜹扢㠸愶昹挸ㅦ摦㕢㔷㔵㕤㉤㕦昹搶㍥㌲㍥㔸㍦㍢㕣㍦慥慡㌶摣搰㍥㌲戹慡挶㝣愱搹㌰㝣㕦㍥扥扥摣晥㌹㝡㐷㑡㙣散㡢㑣愸挷摦愷㙦ㄳㄹ摤㌰戵㈱㕣搹戶㘶㘲戰戱㌱㕣㕦晢摦昰敤㡢昸ㄲ扥㜴㝥〰挳㉥㥥㠶㉦㕥㑦昵晣晥㍢㝥戱㥤攷攷㔹㥤挲收㝣㡣挳搷て㜲ㅥ㐳㙡㙡㕢㤵晡昷扥㝢搱㤷㡥愹㌰㥣㘸㠰〹づつ㔹㤵攱慣㌹昵攱㜹㔵つ晣㈶晤㔴昵ㅢ㤴㤵改㤱㥦攵㜶㤳㡦㡡晣戰散昸搰挲搷〶㤰㠶戹〴㑡愲挱搷㥡㍡㙤挱攸㉦晣摣挰昸搴㜱㜶晦昸搱散ㅦ㝡㤷っ㕡晡〷㐳敢㕤戲挲搲摦ㅢ㕡敦㤲㈱㑢㝦㘷㘸扤㑢㜲戶㡡散㝢摦ㅡ㕡敦㤲㘱㑢㝦㘳攸扥ㄸ㠸㕦㜱㐶㡢㔸㝦㙤㘸扤愷㜲攲㐷㝣晥昹愵㠹晣㍢㌱㈹ㄹ㈷㔶㔵㌶捥昲捤ち㔷捤㥣㠵搵㘱敤摡㔱㤴㈹㔷㍣㍣攴㡦扣㘳㠶愶㔷愳㘹㑢戳㈶ㄸ㙡㥢㥡昲㘰㝤㝤㜰㐱摢㥡昲敡㜰敤捣挶㔹㙤换攵㡦㐴搵搵愲㜱摢戶㙤㥤㕤㤰㌰㜶挵㔷㠰㤳ㄴ攴挸摥㤵㘹散㐴搸つ攰㔷㥣愷㈰㠳晦捣っ㕥愷㤱㌳ㄷ㠴晥搴搰㍡㡤㥣换㈰昴晦ㄸ㕡愷㜱㥥愵㍦㌱戴㑥攳㠹㤶晥㤷愱㜵ㅡ攷㕢晡㘳㐳㑢扥ㄴ愷㍣昰攸㜶戸换攰挹〸㉡ㄳ㜷㡥扤㌹㜲敥ㅣ捤㍢㐶㜷㔲摣㈷〴昰搷㍦慣晢て㡣㝢ㅤㄱ㈷㑦挸搰户ㅡ㕡㐷挴改ㄴ㐲扦㙦㘸ㅤㄱ㈷㔸〸晤㥥愱㜵㐴ぢ㉤晤慥愱㜵㐴愷㕢晡ㅤ㐳敢ㅤ㘳㤱愵摦㌶戴づ昴っ搰摣㌹慣摣㡡㜳㉥㈸戹搳㠷㤱㕢挹捥〷㈳㤲昵㘵㠰〷㄰晡〱晣㙡ㄹ㉡㘴㙣慦ㄹ户㍡㐰㑥愳㄰晡㔵㐳敢〰㌹戱㐲攸㔷っ慤〳扣挸搲㉦ㅢ㕡〷挸挹ㄷ㘲晤㤲愱㜵㠰㥣㡥㈱昴㡢㠶搶㤱㜰晥㠵㑢戲攷㔱㤹㈸㔹㍥㐷ㅥ㉢㔹㈱㈹㤷㘴㤷㕡昷㑦ㅢ昷㍡愲换㉣扤搹搰㍡愲换㉤晤㤴愱㜵㐴㔷㔸晡㐹㐳敢㠸㌸晦㐳㠶扥挹搰㍡愲㤵㤶摥㘸㘸㉤ㄹ攷㠸㠸昵ㄳ㠶搶㠱㜲㝡㐸㡣㘴慢㐰㠸㘴㠳ㄱ㑡㔴戲㥢挱㡡㘴㐳ㄸ攰㔰㐲㈹〰捦挰慤摢挷㡣㕢ㅤ㈰攷㜴㐸㙦㡦ㅡ㕡〷戸搶搲㡦ㄸ㕡〷㜸㥢愵ㅦ㌶戴づ昰㜶㑢㍦㘴㘸ㅤ攰ㅤ㤶㝥搰搰㍡ㄲ㑥〶㜱㐹㜶㍦㉡ㄳ㈵ㅢ换㤱挷㑡㌶㥥㤴㑢戲扢慣晢扢㡣㝢ㅤㄱ愷㤵㐸㐴㜷ㅡ㕡㐷挴㠹㈶㐲慦㌳戴㡥㠸㔳㑦㠴扥挳搰㍡㈲㑥㐶ㄱ晡㜶㐳敢㠸敥户昴㙤㠶搶㤲㍤㘰改戵㠶搶㠱㍥〴㍡㐶㌲捥㐶ㄱ挹愶㈱㤴愸㘴ㅢ挱㡡㘴搳ㄹ攰ㄱ㠴ㄹ〰扦攲㜴ㄲㄹ挴㑤挶慤づ㤰ㄳ㑣㠴㕥㙤㘸ㅤ㈰愷㥣〸㝤愳愱㜵㠰㥣㠴㈲昴つ㠶搶〱㍥㙤改㔵㠶搶〱㜲愲㡡㔸㕦㙦㘸ㅤ挹ㄶ搰㉥挹慥㐵㘵愲㘴ㄵㅣ㜹慣㘴㤵愴㕣㤲㍤㘷摤㕦㘹摣敢㠸㥥户昴ㄵ㠶搶ㄱ扤㘰改换つ慤㈳攲㍣ㄸㄹ攳㘵㠶搶ㄱ㜱㘶㡣搰㤷ㅡ㕡㐷昴戲愵㉦㌱戴㤶㡣戳㘷挴晡㘲㐳敢㐰㌹㜱㈶㐶戲户㐰㠸㘴㌵〸㈵㉡ㄹ㘷戶㠸㘴戵っ戰㡥㌰〷攰㔷ㅦ㔸户ㄷㄸ户㍡挰㙤㤶㕥㘶㘸ㅤ攰㜶㑢㥦㙦㘸ㅤ攰づ㑢㥦㘷㘸ㅤ攰㠷㤶㍥搷搰㍡㐰㑥㥢㤱㐸㤶ㅡ㕡㐷挲㜹㌲㉥挹晥㠱捡㐴挹ㄶ㜰攴戱㤲㥤㑣捡㈵ㄹ攷搷㠸晢㌳㡣㝢ㅤ搱㈷㤶㕥㙣㘸ㅤㄱ攷攰㠸昵㈲㐳敢㠸㌸㉢㐷攸搳つ慤㈳晡捣搲ぢつ慤㈳晡摣搲愷ㄹ㕡㑢昶㠵愵㑦㌵戴づ㤴搳㜸㘲㈴攳㑣ㅤ㤱散㑣㠴ㄲ㤵散ㄷ戰㈲搹㔹っ昰㙣挲ㄲ㠰㕦㜱慡㡤㡣㙤扥㜱慢〳晣捤搲㈷ㅡ㕡〷挸改㌸㘲㍤捦搰㍡㐰㑥搰ㄱ㝡慥愱㜵㠰㥣戲㈳㜴愳愱㜵㠰㝦㔹扡挱搰㍡ㄲ搵㌶㐶戲ㄳ㔰㤹㈸搹㠵ㅣ㜹慣㘴换㐹戹㈴㑢㠵ㅦ改戵摡戸搷ㄱ愵㔹㝡戶愱㜵㐴改㤶㍥摥搰㍡愲っ㑢㔷ㄹ㕡㐷攴戳昴㉣㐳昷挱㠷〵扦㙡㘳改㤹㠶搶㤲㜱㘶㤱㡣㈴㘲㘸ㅤ愸ㅦ㜴㡣㘴ㅤ㐱㠸㘴㉢ㄱ㑡㔴戲摤挰㡡㘴㔷㌱挰慢〹搷〰晣慡戳㜵ㅢ㌴㙥㜵㠰扢㕢晡㌸㐳敢〰扢㔸扡摣搰㍡挰慥㤶㍥搶搰㍡挰㙥㤶㍥挶搰㝤㈴挰㍤㉣㝤戴愱㜵㈴㝢㠱㜶ㅤ㘵㐷愲㌲㔱戲㌵ㅣ㜹慣㘴户㤰㜲㐹戶户㜵㍦搵戸搷ㄱ敤㘳改㈹㠶搶ㄱ㜵户昴㘴㐳敢㠸戲㉣㍤挹搰㍡愲ㅥ㤶㍥摣搰㝤㈴愲㝤㉤㍤搱搰㕡戲㥥㤶㥥㘰㘸ㅤ攸㝥愰㘳㈴敢ぢ㐲㈴扢ㅢ愱㐴㈵㍢〸慣㐸㜶て〳扣㤷㜰ㅦ挰慦戲慤摢㌱挶慤づ㌰挷搲愳つ慤〳捣戵昴㈸㐳敢〰昳㉣㍤搲搰㍡挰㝣㑢㡦㌰㜴ㅦ〹戰挰搲挳つ慤㈳㈹〲敤㤲慣っ㤵㠹㤲㍤捥㤱挷㑡搶㐴捡㈵㔹戱㜵㝦愸㜱慦㈳㉡戱昴㈰㐳敢㠸づ戶昴㐰㐳敢㠸づ戱昴㈱㠶搶ㄱつ戴昴挱㠶敥㈳ㄱつ戲㜴㠹愱戵㘴㠷㕡扡搸搰㍡搰㈱愰㘳㈴ㅢ〶㐲㈴㝢〶愱㐴㈵ㅢ〳㔶㈴㝢㤶〱㙥㈱㍣〷昰㉢㑥㠹㤲㠳㌷捦戸搵〱㜲㤲㤴搰戹㠶搶〱㜲摡㤴搰㌹㠶搶〱ㅥ㘶改㙣㐳敢〰㈷㔸晡㈰㐳昷㤱〰㈷㕡㝡㠰愱㜵㈴㤳㐰扢㈴敢㡦捡㐴挹㕥攷挸㘳㈵㝢㤳㤴㑢戲挹搶㝤㙦攳㕥㐷㌴挵搲晢ㅢ㕡㐷㌴搵搲晢ㄹ㕡㐷㌴捤搲扤っ慤㈳㥡㙥改㥥㠶敥㈳ㄱㅤ㘱改㝤つ慤㈵㥢㘱改ㅥ㠶搶㠱ㅥ〵㍡㐶戲㜲㄰㈲搹㌶㠴ㄲ㤵㉣っ㔶㈴摢捥〰㜷㄰㍥〴攰㍥㠰㜵扢㤷㜱慢〳攴㤴㉤搱㘶㑦㐳敢〰㌹㠹㑢攸㍤っ慤〳慣戲㜴㌷㐳敢〰㡦户㜴㔷㐳昷㤱〰㌹昵㑢㥣㜴㌱戴㡥㠴㔳扣㈸㤹敦㔳っ㉣搹摤㤷捥㘸㤲㈸攴攷㘸攱晢〲㄰㝢昷攵㑢㌰㙥㌱㙢㙤挷〱搳戱㡥戵捥搲㤹㠶搶戱捥戱㜴㐷㐳敢㔸㑦戰㜴〷㐳敢㔸敢㉤摤摥搰㝤㈴搶〶㑢户㌳戴ㄶ戳搱搲㝥㐳敢ㄴ捣〳ㅤ㈳收㐹㈰㐴捣㥦㄰㑡㔴捣搳挱㡡㤸㍦㌳挰㕦〸扦〲晣㙡㤱㜵㥢㘱摣敡〰ㄷ㕢㍡摤搰㍡挰㌳㉣㥤㘶㘸ㅤ攰㤹㤶㑥㌵戴づ昰㉣㑢㉢㐳昷㤱〰捦戶㜴㡡愱㜵㈴㥣㝣收㍡晥晥晣摥㑢戶㌴㝣㕦㔶摣昱㤷㐱捡㜵晣㥤㘳摤晦〲て㝣㙣愸㈳㕡㙡改㥦つ慤㈳攲挴㌶搹戳㝥㌲戴㡥㠸㔳摤㠴晥搱搰㍡㈲㑥㝥ㄳ晡〷㐳昷㤱㠸㤶㔹晡㝢㐳㙢挹㉥戰昴㜷㠶搶㠱㕥〴㍡㐶戲㑢㐰㠸㘴ㅤㄱ㑡㔴戲㤵㘰㐵戲㑣〶ㄸ㈰散〲昰慢慢慣摢㉦㡤㕢ㅤ攰搵㤶晥挲搰㍡挰㙢㉣晤戹愱㜵㠰搷㕡晡㌳㐳敢〰慦戳昴愷㠶敥㈳〱㕥㙦改晦㌱戴㡥攴〶搰㉥挹晥㠵捡挴㈳㙤て㡥㍣昶㤴戹ㄷ㈹㤷㘴㌷㕡昷㍢㡣㝢ㅤ搱㙡㑢㙦㌷戴㡥攸㈶㑢㙦㌳戴㡥㠸昳敥㐴㥢てっ慤㈳攲㑣㍣愱户ㅡ扡㡦㐴㜴㡢愵摦㌷戴㤶散㔶㑢扦㘷㘸ㅤ㈸㈷敡挵㐸㜶㈷〸㤱㙣㍦㠴ㄲ㤵散㝥戰㈲搹晥っ戰㌷愱て挰慦ㅥ戰㙥摦㌴㙥㜵㠰て㕡晡つ㐳敢〰ㅦ戲昴敢㠶搶〱㍥㙣改搷っ慤〳㝣挴搲慦ㅡ扡㡦〴昸愸愵㕦㌱戴㡥攴㜱搰㈲ㄹ㑦㤹愹敡㈵㔴㈶㑡㤶挳㤱昳攴搸㝣昷㌱㡦㤴㑢戲昵搶晤ㄶ攳㕥㐷搴㘴改㘷つ慤㈳摡㘰改㘷っ慤㈳㝡挲搲㑦ㅢ㕡㐷戴搱搲㥢つ摤㐷㈲摡㘴改愷っ慤㈵㝢搲搲㑦ㅡ㕡〷捡㘹㠳㌱㤲㜱㘶愰㐸㌶㄰愱㐴㈵㝢ㄹ慣㐸㌶㠸〱ㅥ㑡ㄸっ昰慢㔷慣摢㈶攳㔶〷挸昹㝤戲㍢慤㌷戴づ昰㌵㑢㍦㙥㘸ㅤ攰敢㤶㝥捣搰㍡挰㌷㉣晤愸愱晢㐸㠰㙦㕡晡ㄱ㐳敢㐸摥〶敤㍡捡ㅥ㐲㘵愲㘴愳㌸昲搸愳㙣っ㈹㤷㘴敦㔸昷昷ㅡ昷㍡愲㜷㉤㝤㡦愱㜵㐴敦㔹晡㙥㐳敢㠸摥户昴㕤㠶搶ㄱ㙤戵昴㥤㠶敥㈳ㄱ㝤㘰改㜵㠶搶㤲㙤戳昴ㅤ㠶搶㠱敥〰ㅤ㈳搹挷㈰㐴戲挹〸㈵㉡ㄹ攷ㄵ㡡㘴㔳ㄸ攰㔴挲㌴㠰㕦㜱㙡愱㘸㜳㡢㜱慢〳晣搲搲㌷ㅢ㕡〷昸㤵愵搷ㄸ㕡〷昸戵愵㙦㌲戴づ昰ㅢ㑢慦㌶㜴ㅦ〹昰㕢㑢摦㘸㘸ㅤ挹昷愰㕤㤲慤㐲㘵愲㘴攵ㅣ㜹慣㘴㐱㔲㉥挹㝥戰敥慦㌶敥㜵㐴㍦㕡晡㉡㐳敢㠸㝥戲昴㑡㐳敢㠸㝥戶昴㤵㠶搶ㄱ晤㘲改㉢っ摤㐷㈲晡搵搲㤷ㅢ㕡㑢昶㥢愵㉦㌳戴づ昴て搰㌱㤲㈹挷㐸㜶㍣㐲㠹㑡搶〶慣㐸㌶㥢〱㔶ㄳ㙡〰㝥搵ㄶㄵ㈲搹㜲攳㔶〷攸㔸晡㈲㐳敢〰晤㤶扥搰搰㍡挰㜶㤶扥挰搰㍡挰昶㤶㕥㘶㘸ㅤ㘰〷㑢㥦㙦㘸ㅤ㐹㈶㘸㑡收㙢挴挰㍡っ㍤㝥㙥㐳㘳戰晥攰慣搲㌰晦戴昳戹㌰ㄵ〱㔳㑥㑦㘹㝥㠲㌷㡦㜱㠸㠰ち愹挳㘳㜷扦㌳㥦㤴㑢挰㠰昱㙡ㅥ昶㥣㘵晤挴㍣〹㍣㈵敡㈷㤵㡥攸攷戴㌸㍦扢搸㐱㥦㙥〶慤昳戴慢愵ㄷㅡ㕡攷愹㤳愵㑦㌳戴捥搳㙥㤶㍥搵搰㍡㑦㥤㉤㝤㡡愱㜵㥥㌸㉤㔴愴㌹搹搰㝤㘵晦攰㐴㔱愱㑦㌲戴㑥㕦㌷搰敥ㅤ㈱搰ㅤ㠴㐸扥㠴愱晣㠳㜰づ挰慦戲慣㠳㜹挶㠱づ愵㠷愵攷ㅡ㕡㠷戲慦愵ㅢつ慤㐳改㘹改〶㐳敢㔰㌸㑦㔴〶㔷㙦㘸ㅤ捡㝥㤶㍥挱搰㝡捣扤㐱扢㡥搲㍡㔴㈶ㅥ愵换㌹昲搸愳昴㘲㔲㉥㤱晢㔸昷挷ㅢ昷㍡愲扥㤶慥㌲戴㡥攸〰㑢捦㌲戴㡥愸㥦愵㘷ㅡ㕡㐷搴摦搲ㄱ㐳敢㠸づ戴㜴搸搰㝤㐵㥣〱㤶慥㌴戴づ㌴ㅢ戴㕢ㅣ㤵て㐲㑥慣㔷㈳ㄴ㝢㤴慡㠳挱捡㈱㜰つ搸愴㝦づ㍥㕤〵攱㍣昱㘸戸づ㡤㝣搷〳搲㌰搱㔲收愰挸㥥扣ち㡣㍢㔹㠷搸㈱ㅥ㙤㠶愸㤳㌵搰搲㐷ㄹ㕡㈷㙢㤰愵㡦㌴戴㑥ㄶ㘷扤㡡捥㌳っ慤㤳㌵搸搲㐷ㄸ㕡㈷㙢㠸愵愷ㅢ扡慦㈴㙢愸愵愷ㄹ㕡㈷慢っ㌴㤳㘵晦愹㤱㈰㈴㔹㙢ㄱ㑡㌴㔹㘳㉤㝢㥢㥢㥤㘰搹摢摤散㘴换摥攱㘲〳㌳挰捡ㄱ戲づ慣㜳㈷攱㉥〰收㤵愰㐲愲㍢捣っ㑣愷攸㈸㑢㡦㌷戴㑥搱搱㤶ㅥ㘷㘸㥤愲㘳㉣㍤搶搰㍡㐵㥣戳㈹扥挷ㄸ㕡愷愸摣搲愳つ慤㜳ㄱ〴敤㍡㐲㐶愲㌲昱〸㜹㤸㈳㡦㍤㐲ㅥ㈵攵㍡㐲㉡慣晢㔲攳㕥㐷ㄴ戲昴㔰㐳敢㠸㌸㈵㔴挶㌸挴搰㍡愲戰愵〷ㅢ㕡㐷挴㘹愳㘲㝤愸愱㜵㐴㌳㉤㍤挸搰㝤㐵昴㔹㤶ㅥ㘸㘸ㅤ攸昱愰㘳㡥㤰㕡㄰㈲晡㤳〸挵㡡ㅥ㘸〴㉢㤲㍤挵〰㌷ㄳ㥥〶昸搵㕣敢戶挸戸搵〱㜲㉥愸㡣慤搰搰㍡㐰捥づㄵ扡挰搰㍡㐰捥ㄷㄵ㍡摦搰㍡挰〵㤶捥㌳戴づ昰㈴㑢攷ㅡ㕡㐷㜲ち㘸㤷㘴搹愸㑣㤴散㘵㡥㍣㔶戲㔷㐹戹㈴㍢搵扡敦㘷摣敢㠸㌸ㅤ㔵挶㜸㠰愱㜵㐴ぢ㉤摤搷搰㍡愲搳㉤摤挷搰㍡愲㐵㤶敥㙤㘸ㅤ搱㘲㑢敦㙦攸扥㈲搹ㄹ㤶摥捦搰㍡搰戳㐰挷㐸㜶づ〸㤱散㍤㠴ㄲ㤵散〲戰㈲搹晢っ㜰㉢攱〳㠰㕦㕤㘸摤㘶ㄹ户㍡㐰捥㐵㤵〰扢ㅢ㕡〷挸搹愹㐲敦㘳㘸ㅤ攰ち㑢敦㙤㘸ㅤ攰挵㤶摥换搰㍡挰㑢㉣扤愷愱㜵㈴㥣挴敡㤲慣ㅢ㉡ㄳ㈵晢㠴㈳㡦㤵散㔳㔲㉥挹㌸昹㔵挶戸㥢㜱慦㈳扡挲搲㥤っ慤㈳扡搲搲扢ㅡ㕡㐷戴搲搲扢ㄸ㕡㐷㜴㤵愵〳㠶搶ㄱ㕤㙤改㑣㐳昷ㄵ挹㌸搱㔶㐶搲搱搰㍡搰敢㐰挷㐸挶㘹戴㈲搹㜷〸㈵㉡搹慤㘰㐵戲敦ㄹ攰て㠴ㅦ〱㝥戵搶扡㜵㡣㕢ㅤ㈰㘷挶㑡㙦㙤つ慤〳扣摤搲㙤っ慤〳扣挳搲㍥㐳敢〰搷㔹㍡挳搰㍡挰㍢㉤㥤㙥㘸ㅤ〹愷搴扡㈴㑢㐵㘵愲㘴㝦㜱攴戱㤲愹昶戱㤲摤㘳摤晦昱㥤晢㘶搵扤㤶晥摤搰㍡愲晢㉣晤㥢愱㜵㐴㥣挰㉢昱晦㙡㘸ㅤㄱ愷昴ち晤㡢愱㜵㐴㥣攴㉢昴捦㠶敥㉢㤲㍤㘴改㥦っ慤〳㝤〴㜴㡣㘴敢㐱㠸㘴㝥㠴ㄲ㤵散㐹戰㈲㔹㍢〶搸㥥搰〱攰㔷㥣㤵㉢扤㝤㙢摣㙡挹㌶㕢晡ㅢ㐳敢〰㥦戶昴搷㠶搶〱㍥㘳改慦っ慤〳㝣搶搲㕦ㅡ㕡〷戸挵搲㕦ㄸ㕡㐷昲㍣㘸㤷㘴㥦愱㌲㔱戲摤㌹昲㔸挹扡㤲㜲ㅤ㘵㉦㔸昷ㅦㅢ昷㍡愲ㄷ㉤晤㑦㐳敢㠸㕥戲昴㐷㠶搶ㄱ㜱㍡戱愴攵㐳㐳敢㠸㌸挱㔸攸ㅤ㠶搶ㄱ扤㙡改敤㠶敥㉢㤲扤㘶改㙤㠶搶㠱㜲晥㜱㡣㘴敦㠰㄰挹㝡㈰㤴愸㘴摢挰㡡㘴晢㌲挰㥥㠴㕥〰慣扢戰㙥摦㌵㙥㜵㠰㥣㌵㉣㘳㝢挷搰㍡挰て㉤晤戶愱㜵㠰㥣㔹㉣搶㙦ㄹ㕡〷昸㑦㑢扦㘹㘸ㅤ㈰㘷ㅦ㡢昵ㅢ㠶搶㤱㝣〲摡㈵搹㙢愸㑣㤴散㐰㡥㍣㔶戲㠳㐸戹㈴晢ㅦ敢晥㐵攳㕥㐷昴愹愵㕦㌰戴㡥攸㌳㑢㍦㙦㘸ㅤㄱ㈷㌷换ㄸ㥦㌳戴㡥攸ぢ㑢㙦㌱戴㡥攸㑢㑢㍦㙢攸扥㈲搹㔷㤶㝥挶搰㍡㔰捥㠶㡥㤱散〷㄰㈲㔹㌱㐲戱㤲愹摦㙣敢捤愶昵㐰㌸㙤㥢敡㔳扦摢㡡愷㑣挵㈰愹㔰敡て㕢昱愴愹攰㘲㈴㘷㈰㥣㘶㜰晥㘹慢愷挷㉡㌴晢㥢㝦戵㝢㄰㍡㔳㥣搵㑡ㅦ捥愱㤴㠶ㅢ㜸㘵㜲敡㈶搹戶搴㐳㜱捡愶㈴㜸㐳㕣㜴㥣挶㈹ㄵ㑤㜱搱㜱㙡愷㔴慣㜷㐷㔷捡づ㌹㠱㤲ㄱ㍡㘵㉣㜱敥愴㜴㍦捣摤㍤愷㈱㌶㜷捦改㠷攲散㤱戸敥㌹㈵㔱㉡ㅥ㡥敢㥥搳ㄴ愵攲㈱㜷昷愳搸㈱㈷〳㑡昷愳㔹攲㍣㐰改㝥㡣扢㝢㑥愹㙢敥㥥㔳改挴搹㝤㜱摤㜳㝡㥤㔴摣ㅢ搷㍤愷摣㐹挵㍤敥敥て㘳㠷㥣搸㈶摤㑦㘰㠹㜳摡愴晢㠹敥敥㌹㍤慣戹㝢㑥ぢㄳ㘷敢攲扡攷㔴㌱愹戸㈳慥㝢㑥ㅦ㤳㡡摢摤摤㑦㘱㠷㥣愴㈵摤㑦㘵㠹昳戳愴晢㘹敥敥㌹搵愹戹㝢㑥㜱ㄲ㘷户挴㜵捦㘹㑦㔲㜱㜳㕣昷㥣ち㈵ㄵ㙢摣摤ㅦ挹づ㌹攱㐸扡㍦㡡㈵捥㌵㤲敥㡦㜶㜷捦㘹㍢捤摤㜳扡㡥㌸扢㈱慥晢戳㙤挵慡戸敥㤷搸㡡敢摤摤ㅦ挷づ㌹㜹㐶扡て戲挴㜹㌳搲㝤㠵扢㝢㑥㐱㘹敥㥥㔳㑦愴晢慢攳扡攷㜴ㄴ愹戸㉡慥㝢㑥㔱㤱㡡㤵敥敥㈳散㜰つ慡愴晢㤹㉣㜱づ㠸㜴㍦换摤㍤愷㔳㌴㜷捦㘹ㄴ攲散戲戸敥㌹戵㐲㉡㉥㡤敢㥥搳㉤愴攲ㄲ㜷昷搵散㤰㤳ㅡ愴晢ㅡ㤶㌸㥦㐱扡慦㜵㜷捦愹〱捤摤㜳㑡㠰㌸扢㈸慥㝢㑥ㄳ㤰㡡ぢ攳扡攷搴〱愹戸挰摤㝤㍤㍢攴〳㝡改扥㠱㈵㍥㥢㤷敥ㅢ摤摤昳㌱㜷㜳昷㝣扣㉤捥捥㡤敢㥥㡦扣愵㘲㘹㕣昷㝣っ㉥ㄵ攷戸扢㥦捦づ攵戱㌲慡㥤〵㉣昱㘹戲㜴㝦ㄲ㑡㙤㜹愲攳㔹㡦て㘶㥢扢攷〳㔹㜱㜶㔶㕣昷㝣㐸㉢ㄵ㘷挶㜵捦〷户㔲㜱㠶扢晢搳搸㈱ㅦ㡦㑡昴ぢ㔹攲㤳㔱改晥㜴㤴愲㈷㕤㍥㘴㙣敥㥥てㄷ挵搹挲戸敥昹挰㔱㉡㑥㡢敢㥥て㈱愵攲㔴㜷昷㘷戲㐳㍥敡㤳敥捦㘲㘹㉦㤴愴晢戳摤摤昳㠱㔹㜳昷㝣㔰㈶捥ㄶ挴㜵捦㠷㘷㔲㌱㍦慥晢㍥戶攲㐴㜷昷㑢搹㈱ㅦ㕢㐹昷攷戲挴㈷㔶搲晤㜹敥敥〷ㅡ㔶扦攵昰愱㡦昴搲㄰搷㍤ㅦ〴㐹㐵㝤㕣昷㝣㌸㈴ㄵ㈷戸扢扦㤰ㅤ㡥㐲㤵㜴㝦ㄱ㑢㝣晡㈲摤㉦㜷㜷捦〷ㄹ捤搱昳〱㠶㌸慢㠹敢㥥て㌵愴愲㍡慥㝢㍥攸㤰㡡搹敥敥㉦㘵㠷㝣㥣㈰摤㕦挶ㄲ㥦㈴㐸昷㤷扢扢攷㑤昹收敥㜹㌳㕥㥣捤㡣敢㥥㌷攸愵㈲ㄲ搷㍤㙦摡㑢㐵搸摤晤㔵散㤰㌷挳愵晢慢㔹攲㝤㜰改晥ㅡ㔷昷敡ㄴ㙢㜳㉤㙤㜸㡦㕢㙣慥㜳摢昰㜶戱㜴㔱ㅥ㌷愸㝦搸㡡㘳攳〶挵摢捡搲攲ㄸ昷愰㙥㘴ㄷ扣㜹㉢㠳㕡捤ㄲ敦摢㑡㠷㌷戹㍡捣攴㉤搰收㥣挸㕤㑣ㅣ㘰捥ㅡ戶攰捤㑢㘹㜱㌳㑡昶㘳㔸㈶敦〳㐶㕢㘴昲晥㕦㜳㠹昷晤㥡㑢扣摦ㄷ㉤㈹摥攷㤳㠱㑥㡦ぢ㡤昷晥愴㘲㕡㕣㘸扣ㅦ㈸ㄵ㔳摤愱摤挶愱昱慥㥢㠴㜶㍢㑢㡦愲挴㡥㥣㍢㔰㡡ㅥ敡扣㜷搵摣㍤敦㔹㠹戳挳攳扡攷㝤㉣愹㤸ㄸ搷晤搳戶㘲㠲扢晢扢搹㈱敦㈰㐹昷昷戰挴㥢㐷搲晤扤㈸㐵㑦㜴敦ㄹ㔶ㅦ㙢扣晦㈲扤㡣㡤敢㥥昷㘴愴㘲㑣㕣昷扣㑦㈳ㄵ愳摤摤㍦挸づ㍦㐱㤵㜴晦㄰㑢扣ㄱ㈲摤㍦㡣㔲㌴㝡摥㔳㘸㡥㥥昷ㄲ挴搹昰戸敥㜹㝦㐱㉡㠶挵㜵捦㝢づ㔲㔱收敥晥㜱㜶挸㉢㝢改㝥㍤㑢扣愸㤷敥㥢摣摤昳晡戸戹㝢㕥ㄷ㡢戳挱㜱摤昳㕡㔹㉡づ㡤敢㥥搷捦㔲㌱挸摤晤㈶㝡攵㔵慡㜴晦㈴㑢㕤〹搴晥㈹㙣㐴愳攷戵㕥㜳昷扣挶ㄳ㘷㈵㜱摤昳扡㑦㉡㡡攳扡敦㘵㉢㡡摣摤㍦㑢慦扣攲㤲敥户戰挴㡢㉤改晥㌹㙣㐴扢㉦㌶慣㘸㥦挹ぢ㡥改ㄸ㘲敡㝣ㄵ㍡慥昲戸攳㝥捥㑣捦摡㈳晤㠸㈱敤慦搸昶散㡥攵慦ㅤ㍤攸㕦扦㕦㜵搵㙢ㅦ㉤㝦敥昷㐷㉢〶㙤㕥戵㙡搳㤸㙢㥦摢戱㙢攴扡搴晢㝦ㅥ㜷摤㈹㌹戳㑦㌹㈱㌲昵㠰㤱愷捣㌸晥昰㥣㠹扢昴㑢㑢㙢搳愶㜷愷愷扢昶〹㥣㝥挲㠳㙡挳摢㕤㙡㤵㕣㘴㌰〷捦愳㈷㝢愰〶㜸戱ㄱ㈰晢〲㌶㥣ㄷ〹㉦ㄱ㕥㈶扣㐲㜸㤵昰ㅡ攱㜵挲ㅢ㠰づ㙤㌲㜹〵戱㔳㠷㉢ㄷ㈵ㅣ搸㥢攸㈹㍡摣㘱㈸挸㜰摦挲㠶昳㌶攱ㅤ挲扢㠴昷〸敦ㄳ戶ㄲ㍥㈰㙣〳㘰戸扣攲搸愹挳㤵㡢ㄸづ㜷㍢㝡㡡づ㤷ㄷ㌳㌲摣ㅤ搸㜰㍥㈴㝣㐴昸㈷攱㘳挲扦〸㥦㄰晥㠷昰㈹〰挳攵ㄵ捡㑥ㅤ慥㕣昴㜰戸㥦愱愷攸㜰㜹昱㈳挳晤ㅣㅢ捥ㄷ㠴㉦〹㕦ㄱ扥㈶㝣㐳昸㤶昰ㅤ攱㝢〰㠶㍢〵扦㜶敡㜰攵㈲㠹挳晤〱㍤㐵㠷换㡢㈵ㄹ敥㡦搸㜰㝥㈲晣㑣昸㠵昰㉢攱㌷挲敦㠴㍦〸㝦〲㌰摣㈳昱㙢愷づ㔷㉥慡㌸摣扦搰㔳㜴戸㐷愳㈰挳㑤改㠰㉡㐵㐸㈵愴ㄱ搲〹ㄹ〴ㅦ愱つ愱㉤〰挳㍤㙥㘷て㔷㉥挲㌸㕣〷ㅤ㐶㠷换㡢㌱ㄹ慥㥦㘳㘹㐷㘸㑦攸㐰攸㐸挸㈴〴〸扢㄰㜶〵㘰戸㤱㥤㍤㕣戹㘸攳㜰㍢愱挳攸㜰㜹昱㈶挳摤㡤㘳改㑣搸㥤搰㠵搰㤵搰㡤戰〷㘱㑦挲㕥〰っ户㝡㘷て户〶ㅤ挸挹㝦㙦㜴ㄸㅤ㙥慤ㅤ敥㍥ㅣ㑢㜷㐲ㄶ愱〷㘱㕦㐲㑦㐲㉦挲㝥㠴晤〱ㄸ㙥晤捥ㅥ慥㕣ㄴ㌲扢扤搱㘱㜴戸㡤㜶戸㝤㌸㤶扥㠴〳〸晤〸晤〹〷ㄲ〶㄰づ㈲㘴〳㌰摣昹㍢㝢戸㜲ㄱ挹攱收愰挳攸㜰㑦㐲户晣㡣攵攴㜲㉣㜹㠴㝣㐲〱愱㤰㔰㐴㈸㈶㤴〰㌲㑦摢搹攳㕣㠸づ㘴㉦㌸ㄸ摤㐵挷㜹㍡㔸搹㘹て攱㐸〶ㄲ〶ㄱづ㈵っ㈶っ㈱っ㈵㤴ㄲ捡〰㐸敢㤹㍢㝢戸㜲㜵捡〴づ㐳㠷搱攱㥥㙤㠷㍢㥣㘳ㄹ㐱ㄸ㐹ㄸ㐵ㄸ㑤ㄸ㐳ㄸ㑢ㄸ㐷ㄸて挰㜰㤷敥散攱捡搵㉣㠷㝢ㄸ㍡㡣づ昷㍣㍢摣〹ㅣ换㐴挲攱㠴㐹㠴挹㠴㈹㠴愹㠴㘹㠴改〰っ㤷㤷慡㍢昵晤㐱慥㝥㌹摣㈳搰㘱㜴戸换敤㜰㘷㜰㉣㐷ㄲ㡥㈲ㅣ㑤㌸㠶㜰㉣愱㥣㜰ㅣ㈱〸挰㜰㉦摤搹挳㤵慢㘵づ户〲ㅤ晥㥦摡捥㍣㐸慡敡ち攳搳挸〰㌳〸搳愰㠸慣㉡戲愳㈸慢扢戲㠸ぢ敥挱戸㙦㌰っ㥢捣っづ〳㈲㈲㈲㈲〲㈲㈲㈲㈲晢づ戲㙦㉡〲攲〶愸愹㔴ㄲㄵ㔳㈹ㄳㄵ昳㠷㠹〶㔳ㄵ攳〲㈶搱摣敦晢捥戹晤戴㑢摢愴㙡愸昲搴㍤扦昳捤改昷扤搷昷扥㝥ㄷ㥣㡥㠷㍢搷て户ㄸ挷㌲㄰愱〴㘱㄰挲㘰㠴㈱〸㐳ㄱ㠶㈱摣ㄹ㐲㌸摣〵㔵㝤戸㝣扡挶攱づて㉦ㄸて㜷㤱ㅦ㙥㈹㡥愵っ愱ㅣ㘱〴挲㕤〸ㄵ〸㈳ㄱ㉡ㄱ㐶㠵㔰愷㘶㙡㜱昸㌹㑥摣搱㈱㡦摤㤶㜸户扢㈱ㅤ㠳㜰て挲㔸㠴㝢ㄱ挶㈱摣㠷㌰ㅥ攱晥㄰㠲昹ㄵ㔵㙤㥥㑦昱㌰㍦㈱扣㘰㍣摣㔵㝥戸て攰㔸㈶㈲㍣㠸㌰〹攱㈱㠴挹〸て㈳㑣㐱㤸ㅡ㐲㌰捦㈷㝣㜴㥢ㄶ昲搸つ㑦晡晣㙢戱㐷㈰㥤づ㘹戵愲昵㔵敤㙣㐳㜸〱㕥㠸㐷㤳挷戲搱㥤捤挰戱㍣㠶㌰ㄳ攱㜱㠴㔹〸㑦㈰捣㐶㜸ㄲ㘱㑥〸攱㐲㙣慤敡挳攵㐳㍦㑥摤㔳攱〵攳愹摢ㅥ㕥㤶㌷愶戹㌸㤶愷ㄱ收㈱捣㐷㔸㠰戰㄰㘱ㄱ挲攲㄰㡡㜶㔴昵㜱㜲㜷〰挷戹㈴扣㕣㍣捥㥤㝥㕡㤷攲㐸㤶㈱㉣㐷㔸㠱戰ㄲ㘱ㄵ挲㙡㠴㌵〸捦㠴㄰㑥敢㥥慡㍥摣㤷挲ぢ昰㕤戰㌶扣㘰㍣摣㤷晤㜰搷攱㔸搶㈳㙣㐰搸㠸戰〹㘱㌳挲ㄶ㠴慤〸摢㐲〸㠷扢户慡て㤷扢て㌸扢摢挳ぢ挶挳摤敦㠷晢㉣㡥攵㌹㠴攷ㄱ㜶㈰扣㠰戰ㄳ㘱ㄷ挲㙥㠴ㄷ㐳〸㠷㡢慤㠵㉡扤㌱㜱户〲㠷扢㈷扣㘰㍣摣㕦晢攱扥㠴㘳㜹ㄹ攱ㄵ㠴㔷ㄱ㕥㐳搸㡢戰て㘱㍦挲敢㈱搴愹㤹挶㐶〳搷㠹㌷〰摦〴っ摦〵㄰㈰㜷㔳扡㝦慥㝦捥搱㉢扣㕥慤㔴㕥ち㝢て㉣㜴戳㠲晥〶ㅡ扢ㄱ挴㕤つ敢㙦愰戱㍦㐱摣挵戰晥〶晡㙤挷㥤つ㌷っ摤ぢ㔳搸挳愰扡㤳攱戶挴〷ㅣ㥦㙥戸ㅤ㌱昶㌹愸㍥捤戰晤愳〱挷ㅤつ昳㤳摢㍢挱㔶ㅡ㝢ㄴ㜴㝡〰㑥摦㤵搳㍦戸扥扤改摤㈹戶㉤搸扦㥤ㄵ攴昴㍤挷㙤つ换㈹戶㌶愸㙥㘳㔸㑥戱搹㐱摣摡戰㥣㘲晢㠳戸㤵㘱㌹晤挰㜱㑢挳㜲晡愱攳㤳つ换改㐱挷㉤っ㘷㥣㘲㝢㠳㑥て挲改㐷㜲㡡摤つ扥㘸㜳搳扢㔳散㜸戰搰捣ち㜲㡡㍤㄰攲愶㠶攵ㄴ扢㈲挴㑤っ换改挷㡥ㅢㅢ㤶㔳散㥣㔰摤挸戰㥣㘲㉦㠵昸㜸挳㜲㡡摤ㄵ攲㠶㠶攵ㄴ晢㉤挴挷ㄹ捥㌸挵捥〸㥤ㅥ㠲搳捦攴昴㤰敢敢㥢摥㥤㘲戳㠴㡤敡㔹㐱㑥戱㝤㐲㥣㌶㉣愷搸㔰㈱㉥㌲㉣愷搸㘲㈱慥㙢㔸㑥戱改㐲㕣挷戰㥣㝥敥昸㘸挳㜲㡡㡤ㄹ慡㙢ㅢ㤶搳㉦ㅣㄷㅡ捥㌸挵愶ち㥤ㅥ㠶搳㈳㜲㡡㍤ㄵ戶愹㘱㝡㜷㡡㝤ㄶㄶ昲慤㈰愷㠷ㅤ㔷㌷㉣愷搸㡢愱晡㈸挳㜲晡㡤攳㙡㠶攵ㄴ晢㌵㔴愷っ换㈹㜶㜰㠸昳っ换㈹昶㜴㠸扦晢㠷㤶ㄲ㌹晤搶昱户㠶㌳㑥扦ぢ㈵㍡慤㕥㌷㌸捤て㈱慣㐸㜹挱㌰摢㝣㘳㝡㜷㥡昲挲ㄱ㉢挸㘹㌵挷㠷つ换改㔱㡥扦㌶㉣愷搵ㅤ㝦㘵㔸㑥昳ㅤ㝦㘹㔸㑥㙢㌸晥挲戰㥣搶㜴晣㑦挳㜲㕡换昱攷㠶㌳㑥ぢ㐲㠹㑥搳㜰㕡㑦㑥ぢ㕤晦㜷搳扢搳摡㕥昸捣ち㜲㝡戴攳㐳㠶攵戴㡥攳扦ㄹ㤶搳扡㡥㍦㌵㉣愷㐵㡥㍦㌱㉣愷㘹挷㝦㌵㉣愷昵ㅣ晦挵戰㥣搶㜷晣戱攱㡣搳㘳㐲㠹㑥㥢挲㘹㌳㌹㍤搶昵㝦㌶扤㍢㙤攰㠵㡦慣㈰愷挷㌹㍥㘸㔸㑥ㅢ㍡晥搰戰㥣ㅥ敦昸〳挳㜲摡挸昱晢㠶攵戴戱攳㍦ㄹ㤶搳㈶㡥晦㘸㔸㑥㥢㍡㝥捦㜰挶㘹戳㔰愲搳戶㜰摡㑥㑥㥢扢晥昷愶㜷愷㈷㜸攱㕤㉢挸改㠹㡥てㄸ㤶搳㤳ㅣ扦㘳㔸㑥㕢㌸㝥摢戰㥣㥥散昸㉤挳㜲摡搲昱敦っ换㘹㉢挷扦㌵㉣愷慤ㅤ晦挶㜰挶㘹㥢㔰愲搳慥㜰摡㑤㑥摢扡晥㔷愶㜷愷敤扣昰愶ㄵ攴戴扤攳㌷っ换㘹〷挷慦ㅢ㤶搳㔳ㅣ敦㌷㉣愷愷㍡摥㘷㔸㑥㍢㍡摥㙢㔸㑥㑦㜳晣㥡㘱㌹㍤摤昱慢㠶㌳㑥㍢㠵ㄲ㥤昶㠰搳㥥㜲摡搹昵㝢㑣敦㑥扢㜸攱㐵㉢挸㘹㔷挷扢つ换㘹㌷挷扢っ换㘹㜷挷㍢つ换改ㄹ㡥㕦㌰㉣愷㘷㍡摥㘱㔸㑥捦㜲晣扣㘱㍡㑤㥦ㅤ㌰敤昴㠵㥤换㘴攷ㅣ搷㙥㌷慤摢㌹搷ぢ摢慣㈰㍢攷㌹摥㙡㔸㜶捥㜷扣挵戰散㕣攰㜸戳㘱搹改攱㜸㤳㘱搹改改㜸愳㘱搹改攵㜸㠳㘱㕤戸摥㡥搷ㅢ捥㕣戸ぢ㐳㠹㑥慦㠳搳敢攵戴㡦敢搷㤸摥㥤㕥攴㠵搵㔶㤰搳㡢ㅤ慦㌲㉣愷㤷㌸㕥㘹㔸㑥㉦㜵扣挲戰㥣昶㜵扣摣戰㥣㕥收㜸㤹㘱㌹扤摣昱㔲挳㜲㝡㠵攳㈵㠶㌳㑥慦っ㈵㍡ㅤ〰愷挵㜲㝡㤵敢ㄷ㤸摥㥤㕥敤㠵昹㔶㤰搳㙢ㅣ捦㌳㉣愷扦㜰晣戴㘱㌹敤攷㜸慥㘱㌹扤搶昱㔳㠶攵昴㤷㡥攷ㄸ㤶搳敢ㅣ㍦㘹㔸㑥慦㜷㍣摢㌰㥤㤶〶㕢改ㅢ㐲㠹㑥换攰戴㕣㑥㙦㜴晤㑣搳扢搳㥢扣昰㤸ㄵ攴昴㘶挷㌳っ换改㉤㡥ㅦ㌵㉣愷户㍡㥥㙥㔸㑥㙦㜳晣㠸㘱㌹扤摤昱㌴挳㜲㝡㠷攳愹㠶攵戴扦攳㈹㠶㌳搷㜴㐰㈸搱改㔸㌸扤㔷㑥㡢㕤㍦挹昴敥㜴愰ㄷㅥ戴㠲㥣㤶㌸㥥㘸㔸㑥〷㌹㝥挰戰㥣づ㜶㍣挱戰㥣づ㜱㝣扦㘱㌹ㅤ敡㜸扣㘱㌹ㅤ收昸㍥挳㜲㝡愷攳㜱㠶㌳㑥㠷㠷ㄲ㥤㑥㠶搳㠷攵戴搴昵㘳㤲晡愹愱㤸㉡昳搲㘸㉢昹㐹㈸昷挲㈸㉢攸㈴㡣㜰㕣㘹㔸㈷攱㉥挷㈳つ敢㈴㔴㌸慥㌰慣㤳㌰搲昱㕤㠶㜵ㄲ㉡ㅤ㡦㌰慣㤳㌰捡㜱戹㘱㥥㠴昴攸㠰改㜴ㄶ㥣㍥㈱愷㜷扢㜶戸㘹摤捥ㄸ㉦摣㘹〵搹戹挷昱㌰挳戲㌳搶昱㔰挳戲㜳慦攳㈱㠶㘵㘷㥣攳挱㠶㘵攷㍥挷㠳っ换捥㜸挷㈵㠶㜵㑤敦㜷㍣搰㌰慦改挲㘰㉢㍤㈱㤴攸㜴ㄱ㥣㉥㤶搳〷㕣㝦㠷改摤改㐴㉦摣㙥〵㌹㝤搰昱㙤㠶攵㜴㤲攳㕢つ换改㐳㡥㙦㌱㉣愷㤳ㅤ摦㙣㔸㑥ㅦ㜶㝣㤳㘱㌹㥤攲昸㐶挳㜲㍡搵昱つ㠶㌳敦摥㘹愱㐴愷㙢攱㜴㥤㥣㍥攲晡㙢㑤敦㑥愷㝢愱㕦戲搱挶昰㔳改㐷扤搱㈶㌴摡慣㐶㌳㕣㝦搵てㅡ㍤收㠵㉢慤愰㔳㌶搳昱ㄵ㠶㜵捡ㅥ㜷㝣戹㘱㥤戲㔹㡥㉦㌳慣㔳昶㠴攳扥㠶㜵捡㘶㍢扥搴戰㑥搹㤳㡥㉦㌱慣㔳㌶挷昱挵㠶㌳愷散愹㔰攲㈹摢〵愷扢攵㜴慥敢㝢㥢摥㑦搹搳㕥攸㘵〵㌹㥤攷戸愷㘱㌹㥤敦戸㠷㘱㌹㕤攰昸〲挳㜲扡搰昱昹㠶攵㜴㤱攳昳っ换改㘲挷攷ㅡ搶慣㕥ㄲ㌰敤散㠳㥤晤戲戳搴戵㘷㤹搶敤㉣昳挲㤹㔶㤰㥤攵㡥捦㌰㉣㍢㉢ㅣ㜷㌷㉣㍢㉢ㅤ㜷㌳㉣㍢慢ㅣ㜷㌵㉣㍢慢ㅤ㜷㌱㉣㍢㙢ㅣ㜷㌶慣ぢ昷㡣攳㑥㠶㌳ㄷ㙥㙤㈸搱改㕢㜰晡戶㥣慥㜳晤愹愶㜷愷敢扤㜰㡡ㄵ攴㜴㠳攳づ㠶攵㜴愳攳昶㠶攵㜴㤳攳㜶㠶攵㜴戳攳戶㠶攵㜴㡢攳㌶㠶攵㜴慢攳搶㠶攵㜴㥢攳㔶㠶㌳㑥户㠷ㄲ㥤扥て愷ㅦ挸改戳慥㍦挹昴敥昴㌹㉦㥣㘸〵㌹㝤摥昱〹㠶攵㜴㠷攳收㠶攵昴〵挷捤っ换改㑥挷㑤つ换改㉥挷㑤っ换改㙥挷㡤つ换改㡢㡥ㅢㄹ捥㌸摤ㄳ㑡㜴晡〹㥣㝥㉡愷㉦戹扥㠱改摤改换㕥㌸搶ち㜲晡㡡攳㘳っ换改慢㡥敢ㅢ㤶搳搷ㅣ搷㌳㉣愷㝢ㅤ愷つ换改㍥挷㐵㠶攵㜴扦攳扡㠶攵昴㜵挷㜵っ㐷愷昹㙦㠴㔲换ぢ㑢㡡挳㙦戴㉦㉦㉢〹㕦㍢㔰㌶戸㈳扦ㅡ敡㠷扦㑡扦㔶搸㘳㉥㈸敤㔷搹扦ㄲ扦㔴扦戰戴㑦搹㈸㝤改㔲㡤搲㝥㐳捡敦㉥慢搷㘷㑣㘵㐵晦攲捡づ㔱㔳㍦㤲愸慤ㅢㄱ㝦愶㔱敦昲搲ㄱ晤㉢晡てㄸ㕥〲㐹㠷㑣搳〶㍦慣㔰ㅦ㉥〹慥㑡㕥㡢ㅦ㍦㘰㍦㐰晣搶晦㕡愹㥦㉤慣㤵挲てㄴ㝣ㄹ慥㌴晥愴㌲㈳愶愹㌷挳㘹挲愹㉡昸㉡㈸㜰っ愹捣㠸㘹敡㥤㔰攵㍦㥤晣㍡㈸㔲〷㕣㝦㌸㜶㡣㈳㜵㝣搷ㄵ㐷㘲挷㌸㔲挷㠳慥昸㈶昶㠸㈳昵昸挸ㄵ晦㡡㍤攲㐸㍤づ戹攲摦戱㐷ㅣ愹挷㘷慥昸㑦散ㄱ㐷敡㜱搸ㄵ摦挶ㅥ㜱愴ㅥ㐷㕣昱㕤散ㄱ㐷敡㠱㡤㑢㥥扦㍣㝣㥦㐵昸㤳㉡㠸㈳愶㈹散㙡㔲㤱ちち晥㔰㐱ㅣ愹〷戶〴愹愸ㄶ㝢挴㤱㝡㘰扦㤰㡡愳㘲㡦㌸㔲て㙣戶㔱㔱㍤昶㠸㈳昵㘸收㡡晣搸㈳㡥搴〳摢㔸散㔱㈳昶㠸㈳昵挰ㅥㄷㄵ㌵㘳㡦㌸㔲て㙣㄰㔱㔱㉢昶㠸㈳昵挰敥ㄱㄵ〵戱㐷ㅣ愹〷戶㕥愸㈸㡣㍤攲㐸㍤戰㉦㐳㐵敤搸㈳㡥搴〳晢ㅤ㔴ㅣㅤ㝢挴㤱㝡㘰㌳㠴㡡㍡戱㐷ㅣ愹〷㜶ㄲ愸愸ㅢ㝢挴㤱㝡㘰㥢㠱㡡愲搸㈳㡥搴〳捦攸㔴愴㘳㡦㌸㔲て㍣挰㔳㔱㉦昶㠸㈳昵挰戳㌰㘷㘰晤愰㐸攱㔹㤸晡㘳㘲挷㌸㔲㐷㍣㈸㔳㜱㙣散ㄸ㐷敡㠸愷㑣㉡ㅡ挴ㅥ㜱愴ㅥ㜸〴愵攲戸搸㈳㡥搴〳捦㙦㔴㌴㡣㍤攲㐸㍤昰㜰㐷挵昱戱㐷ㅣ愹〷㥥昰攸慣㔱㔰愴昰㥣㐴㝤攳搸㌱㡥搴ㄱて㔱㔴㌴㠹ㅤ攳㐸ㅤㄷ㝡挷愶攸㠸攷ㄱ敡㥢挵㡥㜱愴㡥㜸㔸愱愲㜹散ㄸ㐷敡㠸㑦晡㔴㥣㄰㝢挴㤱㝡攰㌱㠰㡡ㄳ㘳㡦㌸㔲て㝣攴愷捦㤳㠲㈲㠵㡦晣搴户㠸ㅤ攳㐸ㅤ昱㍣㐰挵挹戱㘳ㅣ愹㈳㍥㑣㔳搱㌲昶㠸㈳昵挰㈷㙤㉡㕡挵ㅥ㜱愴ㅥ昸〴㑢㐵敢搸㈳㡥搴〳ㅦ㙦愹㘸ㄳ㝢挴㤱㝡攰戳㈱ㄵ㙤㘳㡦㌸㔲て㝣㜰愴愲㕤散ㄱ㐷敡昱扥㉢摡挷ㅥ㜱愴ㅥ昸㐸挶ㅥㅤ㘲㡦㌸㔲て㝣㥥愱攲㤴搸㈳㡥搴〳ㅦ㜶愸㌸㌵昶㠸㈳昶挸挷㑤昲㘷摣㔸昱捦ㅤ晥捦晦戱戸㘳㜸改ㄴ敥戴㜸愹㠲搳㤰昱慥ㅡ㍡挶㙦㈱㐴晢ㄴ敥愹搴㜴㠲〶昷㑦㘶㥤㤱攱㕥挹慣ぢ㌲摣ㄷ㤹㜵㐵㠶㝢㈰戳㙥挸㜰扦㘳搶ㅤㄹ敥㙤捣捥㐰㠶晢ㄸ戳㌳㤱攱㥥挵散㉣㘴戸㍦㌱㍢ㅢㄹ敥㐵捣捥㐱㠶晢づ戳㜳㤱攱ㅥ挳散㍣㘴戸㥦㌰㍢ㅦㄹ敥ㅤ捣㉥㐰㠶晢〴戳ㅥ挸㜰㑦㘰搶ㄳㄹ搶㝦㘶扤㤰㘱慤㘷搶ㅢㄹ搶㜵㘶ㄷ㈲挳ㅡ捥慣て㌲慣搷捣㉥㐲㠶戵㤹搹挵挸戰づ㌳扢〴ㄹ搶㕣㘶㤷㈲挳晡捡慣㉦㌲慥慡戸〲晥戵搰扣〲㔸㔳愹戹ㅣㅡ慣㥦捣慥㐰㠶戵㤲搹㤵挸戰㉥㌲扢ちㄹ搶㐰㘶㔷㈳挳㝡挷散ㅡ㘴㕣攵㤲搷扡〰搷ㅡ㙢ㅣ㌵晤愰挱㝡挶散㕡㘴㕣挵㤲㍦㠱㑦攰㈹慣㘱搴㕣〷つ搶㉢㘶搷㈳挳摡挴散〶㘴㔸㠷㤸摤㠸㡣慢て扡摤ㄴ㌲晣愱㔳慣㍤搴摣っつ搶ㄹ㘶户㈰挳㥡挲散㔶㘴㔸㍦㤸摤㠶っ㙢〵戳摢㤱㘱㕤㘰㜶〷㌲慣〱捣晡㈳挳㝣㘷㌶〰ㄹ收㌶戳㘲㘴㤸挷捣〶㈲挳㥣㘵㔶㠲っ昳㤳搹㈰㘴㥣㍣攱愰攳㑣愱〳㑥㈲搰㈱搰戸㈷㑥㥢㉣㉤愷て攸戰愴㤶搳㈸㑢换改〴㍡㍣愹攵戴捡搲㜲㝡㠱㤶㈵戵㥣㘶㔹㕡㑤户愰ㅤ㤱搴㜲摡㘵㘹㌹晤㐰㉢㤲㕡㑥挳㉣㉤愷㈳㘸㘵㔲换㘹㤹愵攵昴〴ㅤ㥤搴㜲㥡㘶㘹㌹㕤㐱挷㈴戵㥣戶㔹㕡㑥㕦搰戱㐹㉤愷㌱愸捦慦㌰捥㑢㜱㍡㠳㡥㑢㙡㌹慤㐱㤳㕦收㤷攲昴〶ㅤ㥦搴㜲㥡㘷㘹㌹摤㐱㈷㈴戵㥣昶愰摦㍢〶㑥㝦搰㠹㐹㉤㈷㝣㔶㕦㑥㝣搰㐹㐹㉤ㄷ㠰㉣㉤ㄷ〲搰挹㐹㉤ㄷ㠴㉣㉤ㄷ〶搰㈹㐹㉤㤷㠲㉣㉤㤷〴搰㘹㐹㉤ㄷ㠱㉣㉤ㄷ〳搰改㐹㉤ㄷ〵搰敦㥤〷㉥づ愰㌳ㄲ摡㜴㕣㈴戸㉥㘴扤〰搷〷搰㤹㠹ㅦ㑡㜱㥤挸搲㜲扤〰㥤㤵搴㜲摤挸搲㜲晤〰㥤㥤搴㜲ㅤ挹搲㜲㍤〱㥤㤳搴㜲㕤挹搲㜲㝤〱㥤㥢搴㜲㥤挹搲㜲扤〱㥤㤷搰愶戱挲攰㤳㐲挱晣㌰〸摦㈹㠹㔵㠴昹〲攵㔸㈹㤸㉦㔴㡥搵㠰昹㈲攵㤸昱捣ㄷ㉢挷慣㘶扥㐴㌹㘶㉥昳愵捡㌱㍢㤹㉦㔳㡥ㄹ挸㝣戹㜲捣㌲收㉢㤴㘳㈶㌱㕦愹ㅣ戳㠵昹㉡攵㤸ㄱ捣㔷㉢挷扢㥥昹ㅡ攵㜸㘷㌳㝦㐶㌹摥扤捣搷㉡挷㍢㤴昹㍡攵㜸ㄷ㌲㕦慦ㅣ敦㌴收ㅢ㤴攳摤挴㝣愳㜲扣㔱㤸㙦㔲㡥㌷〳昳捤捡㜱挱㤹㙦㔱㡥㡢捡㝣慢㜲㕣㌸收摢㤴攳攲㌰摦捥㍣ㅦ㤷攵㈷㝥㍤捣搵㈵ㄵ挵㈵㘵㤵㐳㠷㤷㘰㉦㈵晣て搳㜹㜵㑡㝢㠷摦㤹㕡慥敤㥥㤱昹摣攰挹摥〰慡て㜹㠷敦㐹ぢ㠵㄰㡢㌴㡣㍢㐱戵慤㠴慤愳晦㜵ㅢ愸㘶㜰㠳晦挲挳㐲昳㥦摥〹搲㉥搰捦㔳搹ㄶ搰戳攱散ㄴ昲〶㔹㤰ㄹ㌲㑦攱晤㡢㤳㤷㈸㈴㠶搲攰㍤㥤㑢㠳昷㜹㉥つ摥晢戹㌴㤸て戹㌴㤸㈳戹㌴㤸㌷戹㌴㤸㑢戹㌴㤸㕦戹㌴㤸㜳搴㍣ㄷ〶㜶㥥㌳㐳㥤㐳捣挳㕣㝤㌰㌷㜳㘹㌰㕦㜳扤ㄶ收㜰慥㍥㤸搷戹㌴㤸敢搴散っ〳昳㤵ㄹ捡ㄷ收㝦慥㍥㔸ㄳ㜲㘹戰㑥㔰戳㍢昳㕡㤹愱㕥ぢ㙢㐷慥㍥㔸㑦㜲㘹戰挶攴搲㘰摤挹愵挱㕡㤴㑢㠳昵㈹㠷愶〸㜳㤲㌳扦〸敦ㅡ㡤㜰㥥㌵挲㔹攰愸昶㝦〱㔷昱换㘳</t>
  </si>
  <si>
    <r>
      <t xml:space="preserve">E (R </t>
    </r>
    <r>
      <rPr>
        <b/>
        <vertAlign val="subscript"/>
        <sz val="11"/>
        <color theme="1"/>
        <rFont val="Calibri"/>
        <family val="2"/>
        <scheme val="minor"/>
      </rPr>
      <t xml:space="preserve">j </t>
    </r>
    <r>
      <rPr>
        <b/>
        <sz val="11"/>
        <color theme="1"/>
        <rFont val="Calibri"/>
        <family val="2"/>
        <scheme val="minor"/>
      </rPr>
      <t>)  = R</t>
    </r>
    <r>
      <rPr>
        <b/>
        <vertAlign val="subscript"/>
        <sz val="11"/>
        <color theme="1"/>
        <rFont val="Calibri"/>
        <family val="2"/>
        <scheme val="minor"/>
      </rPr>
      <t xml:space="preserve"> F</t>
    </r>
    <r>
      <rPr>
        <b/>
        <sz val="11"/>
        <color theme="1"/>
        <rFont val="Calibri"/>
        <family val="2"/>
        <scheme val="minor"/>
      </rPr>
      <t xml:space="preserve"> + [R </t>
    </r>
    <r>
      <rPr>
        <b/>
        <vertAlign val="subscript"/>
        <sz val="11"/>
        <color theme="1"/>
        <rFont val="Calibri"/>
        <family val="2"/>
        <scheme val="minor"/>
      </rPr>
      <t>M</t>
    </r>
    <r>
      <rPr>
        <b/>
        <sz val="11"/>
        <color theme="1"/>
        <rFont val="Calibri"/>
        <family val="2"/>
        <scheme val="minor"/>
      </rPr>
      <t xml:space="preserve"> -R</t>
    </r>
    <r>
      <rPr>
        <b/>
        <vertAlign val="subscript"/>
        <sz val="11"/>
        <color theme="1"/>
        <rFont val="Calibri"/>
        <family val="2"/>
        <scheme val="minor"/>
      </rPr>
      <t xml:space="preserve"> F</t>
    </r>
    <r>
      <rPr>
        <b/>
        <sz val="11"/>
        <color theme="1"/>
        <rFont val="Calibri"/>
        <family val="2"/>
        <scheme val="minor"/>
      </rPr>
      <t>]*β</t>
    </r>
  </si>
  <si>
    <r>
      <t>R</t>
    </r>
    <r>
      <rPr>
        <b/>
        <vertAlign val="subscript"/>
        <sz val="11"/>
        <color theme="1"/>
        <rFont val="Calibri"/>
        <family val="2"/>
        <scheme val="minor"/>
      </rPr>
      <t xml:space="preserve"> F     </t>
    </r>
  </si>
  <si>
    <t xml:space="preserve"> Tasa de rendimiento sobre un activo libre de riesgo </t>
  </si>
  <si>
    <r>
      <t xml:space="preserve"> [R</t>
    </r>
    <r>
      <rPr>
        <b/>
        <vertAlign val="subscript"/>
        <sz val="11"/>
        <color theme="1"/>
        <rFont val="Calibri"/>
        <family val="2"/>
        <scheme val="minor"/>
      </rPr>
      <t xml:space="preserve"> M</t>
    </r>
    <r>
      <rPr>
        <b/>
        <sz val="11"/>
        <color theme="1"/>
        <rFont val="Calibri"/>
        <family val="2"/>
        <scheme val="minor"/>
      </rPr>
      <t xml:space="preserve"> -R </t>
    </r>
    <r>
      <rPr>
        <b/>
        <vertAlign val="subscript"/>
        <sz val="11"/>
        <color theme="1"/>
        <rFont val="Calibri"/>
        <family val="2"/>
        <scheme val="minor"/>
      </rPr>
      <t>F</t>
    </r>
    <r>
      <rPr>
        <b/>
        <sz val="11"/>
        <color theme="1"/>
        <rFont val="Calibri"/>
        <family val="2"/>
        <scheme val="minor"/>
      </rPr>
      <t>] =</t>
    </r>
  </si>
  <si>
    <t xml:space="preserve">Prima de riesgo </t>
  </si>
  <si>
    <t>β =</t>
  </si>
  <si>
    <t>beta apalanacada</t>
  </si>
  <si>
    <t>beta no apalancada</t>
  </si>
  <si>
    <t>E (R j ) =</t>
  </si>
  <si>
    <t>%</t>
  </si>
  <si>
    <t>Activo corriente</t>
  </si>
  <si>
    <t>Deuda</t>
  </si>
  <si>
    <t>Activo no corriente</t>
  </si>
  <si>
    <t>Capital</t>
  </si>
  <si>
    <t>Impuestos</t>
  </si>
  <si>
    <t>WACC =</t>
  </si>
  <si>
    <t>RIESGO PAIS</t>
  </si>
  <si>
    <t>ke</t>
  </si>
  <si>
    <t>Kd</t>
  </si>
  <si>
    <t>Extracto del balance general AL 31 DE DICIEMBRE DEL 2017</t>
  </si>
  <si>
    <t>UTILIDAD</t>
  </si>
  <si>
    <t>DEPRECIACION</t>
  </si>
  <si>
    <t>AMORTIZACION</t>
  </si>
  <si>
    <t>PAG 521</t>
  </si>
  <si>
    <t>FFF cuadrar</t>
  </si>
  <si>
    <t>UTILIDAD NETA</t>
  </si>
  <si>
    <t>REPOSICIÓN DE PRÉSTAMO</t>
  </si>
  <si>
    <t xml:space="preserve">RECUPERACIÓN DE CAPITAL DE TRABAJO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</si>
</sst>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409]#,##0"/>
    <numFmt numFmtId="165" formatCode="0.0"/>
    <numFmt numFmtId="166" formatCode="0.0000"/>
    <numFmt numFmtId="167" formatCode="[$$-409]#,##0.00"/>
    <numFmt numFmtId="168" formatCode="#,##0.0"/>
    <numFmt numFmtId="169" formatCode="[$$-540A]#,##0"/>
    <numFmt numFmtId="170" formatCode="#,##0.000"/>
    <numFmt numFmtId="171" formatCode="#,##0.0000"/>
    <numFmt numFmtId="172" formatCode="[$$-45C]#,##0"/>
    <numFmt numFmtId="173" formatCode="0.000"/>
    <numFmt numFmtId="174" formatCode="0.00000"/>
    <numFmt numFmtId="175" formatCode="[$$-540A]#,##0_ ;[Red]\-[$$-540A]#,##0\ "/>
  </numFmts>
  <fonts count="30"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b/>
      <vertAlign val="subscript"/>
      <sz val="11"/>
      <color theme="1"/>
      <name val="Calibri"/>
      <family val="2"/>
      <scheme val="minor"/>
    </font>
    <font>
      <b/>
      <sz val="11"/>
      <color theme="0"/>
      <name val="Calibri"/>
      <family val="2"/>
      <scheme val="minor"/>
    </font>
    <font>
      <b/>
      <sz val="8"/>
      <color rgb="FF000000"/>
      <name val="Arial"/>
      <family val="2"/>
    </font>
    <font>
      <sz val="8"/>
      <color rgb="FF000000"/>
      <name val="Arial"/>
      <family val="2"/>
    </font>
    <font>
      <b/>
      <i/>
      <sz val="9"/>
      <color rgb="FF000000"/>
      <name val="Verdana"/>
      <family val="2"/>
    </font>
    <font>
      <b/>
      <i/>
      <sz val="9"/>
      <name val="Verdana"/>
      <family val="2"/>
    </font>
    <font>
      <sz val="9"/>
      <color rgb="FF000000"/>
      <name val="Calibri"/>
      <family val="2"/>
    </font>
    <font>
      <b/>
      <sz val="12"/>
      <color theme="1"/>
      <name val="Calibri"/>
      <family val="2"/>
      <scheme val="minor"/>
    </font>
    <font>
      <b/>
      <sz val="14"/>
      <color theme="1"/>
      <name val="Calibri"/>
      <family val="2"/>
      <scheme val="minor"/>
    </font>
    <font>
      <b/>
      <sz val="9"/>
      <color theme="1"/>
      <name val="Calibri"/>
      <family val="2"/>
      <scheme val="minor"/>
    </font>
    <font>
      <sz val="11"/>
      <color theme="5" tint="-0.499984740745262"/>
      <name val="Calibri"/>
      <family val="2"/>
      <scheme val="minor"/>
    </font>
    <font>
      <b/>
      <i/>
      <sz val="11"/>
      <color theme="1"/>
      <name val="Calibri"/>
      <family val="2"/>
      <scheme val="minor"/>
    </font>
    <font>
      <b/>
      <sz val="11"/>
      <color rgb="FFFF0000"/>
      <name val="Calibri"/>
      <family val="2"/>
      <scheme val="minor"/>
    </font>
    <font>
      <b/>
      <sz val="11"/>
      <name val="Calibri"/>
      <family val="2"/>
      <scheme val="minor"/>
    </font>
    <font>
      <b/>
      <sz val="14"/>
      <color theme="0"/>
      <name val="Calibri"/>
      <family val="2"/>
      <scheme val="minor"/>
    </font>
    <font>
      <sz val="14"/>
      <color rgb="FFFF0000"/>
      <name val="Calibri"/>
      <family val="2"/>
      <scheme val="minor"/>
    </font>
    <font>
      <b/>
      <sz val="16"/>
      <color theme="1"/>
      <name val="Calibri"/>
      <family val="2"/>
      <scheme val="minor"/>
    </font>
    <font>
      <sz val="14"/>
      <color theme="1"/>
      <name val="Calibri"/>
      <family val="2"/>
      <scheme val="minor"/>
    </font>
    <font>
      <u/>
      <sz val="11"/>
      <color theme="10"/>
      <name val="Calibri"/>
      <family val="2"/>
      <scheme val="minor"/>
    </font>
    <font>
      <b/>
      <sz val="10"/>
      <color theme="1"/>
      <name val="Calibri"/>
      <family val="2"/>
      <scheme val="minor"/>
    </font>
    <font>
      <sz val="11"/>
      <color rgb="FFFF0000"/>
      <name val="Calibri"/>
      <family val="2"/>
      <scheme val="minor"/>
    </font>
    <font>
      <sz val="9"/>
      <color indexed="81"/>
      <name val="Tahoma"/>
      <family val="2"/>
    </font>
    <font>
      <b/>
      <sz val="9"/>
      <color indexed="81"/>
      <name val="Tahoma"/>
      <family val="2"/>
    </font>
    <font>
      <sz val="10"/>
      <color theme="1"/>
      <name val="Calibri"/>
      <family val="2"/>
      <scheme val="minor"/>
    </font>
    <font>
      <sz val="8"/>
      <color theme="1"/>
      <name val="Calibri"/>
      <family val="2"/>
      <scheme val="minor"/>
    </font>
    <font>
      <b/>
      <sz val="11"/>
      <color theme="1"/>
      <name val="Calibri"/>
      <family val="2"/>
    </font>
  </fonts>
  <fills count="18">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EEEEEE"/>
        <bgColor indexed="64"/>
      </patternFill>
    </fill>
    <fill>
      <patternFill patternType="solid">
        <fgColor rgb="FFEFF2F7"/>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FF00"/>
        <bgColor indexed="64"/>
      </patternFill>
    </fill>
    <fill>
      <patternFill patternType="solid">
        <fgColor rgb="FF00FFFF"/>
        <bgColor indexed="64"/>
      </patternFill>
    </fill>
    <fill>
      <patternFill patternType="solid">
        <fgColor theme="5"/>
        <bgColor indexed="64"/>
      </patternFill>
    </fill>
    <fill>
      <patternFill patternType="solid">
        <fgColor rgb="FF00B050"/>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A1A1A1"/>
      </left>
      <right style="medium">
        <color rgb="FFA1A1A1"/>
      </right>
      <top/>
      <bottom style="medium">
        <color rgb="FFA1A1A1"/>
      </bottom>
      <diagonal/>
    </border>
    <border>
      <left/>
      <right style="medium">
        <color rgb="FFA1A1A1"/>
      </right>
      <top/>
      <bottom style="medium">
        <color rgb="FFA1A1A1"/>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2" fillId="2" borderId="0" applyNumberFormat="0" applyBorder="0" applyAlignment="0" applyProtection="0"/>
    <xf numFmtId="0" fontId="22" fillId="0" borderId="0" applyNumberFormat="0" applyFill="0" applyBorder="0" applyAlignment="0" applyProtection="0"/>
  </cellStyleXfs>
  <cellXfs count="422">
    <xf numFmtId="0" fontId="0" fillId="0" borderId="0" xfId="0"/>
    <xf numFmtId="0" fontId="0" fillId="3" borderId="1" xfId="0" applyFill="1" applyBorder="1" applyAlignment="1">
      <alignment vertical="center"/>
    </xf>
    <xf numFmtId="10" fontId="0" fillId="3" borderId="1" xfId="0" applyNumberFormat="1" applyFill="1" applyBorder="1" applyAlignment="1">
      <alignment vertical="center"/>
    </xf>
    <xf numFmtId="9" fontId="0" fillId="3" borderId="1" xfId="0" applyNumberFormat="1" applyFill="1" applyBorder="1" applyAlignment="1">
      <alignment vertical="center"/>
    </xf>
    <xf numFmtId="1" fontId="0" fillId="3" borderId="1" xfId="0" applyNumberFormat="1" applyFill="1" applyBorder="1" applyAlignment="1">
      <alignment vertical="center"/>
    </xf>
    <xf numFmtId="0" fontId="0" fillId="0" borderId="1" xfId="0" applyBorder="1"/>
    <xf numFmtId="2" fontId="0" fillId="0" borderId="1" xfId="0" applyNumberFormat="1" applyBorder="1"/>
    <xf numFmtId="0" fontId="0" fillId="0" borderId="0" xfId="0" applyAlignment="1">
      <alignment horizontal="center"/>
    </xf>
    <xf numFmtId="0" fontId="3" fillId="0" borderId="1" xfId="0" applyFont="1"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xf>
    <xf numFmtId="0" fontId="0" fillId="0" borderId="0" xfId="0" applyAlignment="1">
      <alignment horizontal="center" vertical="center" wrapText="1"/>
    </xf>
    <xf numFmtId="0" fontId="0" fillId="0" borderId="1" xfId="0" applyBorder="1" applyAlignment="1">
      <alignment horizontal="center" vertical="center"/>
    </xf>
    <xf numFmtId="2" fontId="0" fillId="0" borderId="1" xfId="0" applyNumberFormat="1" applyBorder="1" applyAlignment="1">
      <alignment horizontal="center"/>
    </xf>
    <xf numFmtId="1" fontId="0" fillId="0" borderId="1" xfId="0" applyNumberFormat="1" applyBorder="1"/>
    <xf numFmtId="1" fontId="0" fillId="0" borderId="0" xfId="0" applyNumberFormat="1"/>
    <xf numFmtId="164" fontId="0" fillId="0" borderId="1" xfId="0" applyNumberFormat="1" applyBorder="1"/>
    <xf numFmtId="2" fontId="0" fillId="0" borderId="1" xfId="0" applyNumberFormat="1" applyBorder="1" applyAlignment="1">
      <alignment horizontal="center" vertical="center"/>
    </xf>
    <xf numFmtId="2" fontId="0" fillId="0" borderId="0" xfId="0" applyNumberFormat="1"/>
    <xf numFmtId="9" fontId="0" fillId="0" borderId="1" xfId="1" applyFont="1" applyBorder="1"/>
    <xf numFmtId="0" fontId="0" fillId="0" borderId="1" xfId="0" applyBorder="1" applyAlignment="1">
      <alignment horizontal="center" vertical="center" wrapText="1"/>
    </xf>
    <xf numFmtId="9" fontId="0" fillId="0" borderId="0" xfId="1" applyFont="1"/>
    <xf numFmtId="0" fontId="0" fillId="3" borderId="1" xfId="0" applyFill="1" applyBorder="1"/>
    <xf numFmtId="9" fontId="0" fillId="3" borderId="1" xfId="1" applyFont="1" applyFill="1" applyBorder="1"/>
    <xf numFmtId="0" fontId="0" fillId="0" borderId="0" xfId="0" applyBorder="1"/>
    <xf numFmtId="0" fontId="0" fillId="0" borderId="0" xfId="0" applyFill="1" applyBorder="1"/>
    <xf numFmtId="0" fontId="3" fillId="0" borderId="0" xfId="0" applyFont="1"/>
    <xf numFmtId="0" fontId="0" fillId="0" borderId="0" xfId="0" applyAlignment="1">
      <alignment vertical="center"/>
    </xf>
    <xf numFmtId="0" fontId="0" fillId="0" borderId="0" xfId="0" applyAlignment="1">
      <alignment horizontal="right"/>
    </xf>
    <xf numFmtId="1" fontId="0" fillId="0" borderId="0" xfId="0" applyNumberFormat="1" applyBorder="1"/>
    <xf numFmtId="0" fontId="6" fillId="6" borderId="7" xfId="0" applyFont="1" applyFill="1" applyBorder="1" applyAlignment="1">
      <alignment horizontal="left" wrapText="1"/>
    </xf>
    <xf numFmtId="0" fontId="6" fillId="6" borderId="8" xfId="0" applyFont="1" applyFill="1" applyBorder="1" applyAlignment="1">
      <alignment horizontal="left" wrapText="1"/>
    </xf>
    <xf numFmtId="0" fontId="7" fillId="5" borderId="7" xfId="0" applyFont="1" applyFill="1" applyBorder="1" applyAlignment="1">
      <alignment horizontal="left" vertical="center" wrapText="1"/>
    </xf>
    <xf numFmtId="0" fontId="7" fillId="5" borderId="8" xfId="0" applyFont="1" applyFill="1" applyBorder="1" applyAlignment="1">
      <alignment horizontal="left" vertical="center" wrapText="1"/>
    </xf>
    <xf numFmtId="0" fontId="7" fillId="7" borderId="7" xfId="0" applyFont="1" applyFill="1" applyBorder="1" applyAlignment="1">
      <alignment horizontal="left" vertical="center" wrapText="1"/>
    </xf>
    <xf numFmtId="0" fontId="7" fillId="7" borderId="8" xfId="0" applyFont="1" applyFill="1" applyBorder="1" applyAlignment="1">
      <alignment horizontal="left" vertical="center" wrapText="1"/>
    </xf>
    <xf numFmtId="0" fontId="7" fillId="4" borderId="8" xfId="0" applyFont="1" applyFill="1" applyBorder="1" applyAlignment="1">
      <alignment horizontal="left" vertical="center" wrapText="1"/>
    </xf>
    <xf numFmtId="0" fontId="3" fillId="0" borderId="0" xfId="0" applyFont="1" applyAlignment="1">
      <alignment vertical="center" wrapText="1"/>
    </xf>
    <xf numFmtId="0" fontId="0" fillId="0" borderId="0" xfId="0" applyFont="1" applyAlignment="1">
      <alignment wrapText="1"/>
    </xf>
    <xf numFmtId="0" fontId="0" fillId="0" borderId="0" xfId="0" applyFill="1" applyAlignment="1">
      <alignment horizontal="center" vertical="center" wrapText="1"/>
    </xf>
    <xf numFmtId="0" fontId="10" fillId="0" borderId="1" xfId="0" applyFont="1" applyBorder="1"/>
    <xf numFmtId="0" fontId="10" fillId="0" borderId="1" xfId="0" applyFont="1" applyBorder="1" applyAlignment="1">
      <alignment horizontal="center"/>
    </xf>
    <xf numFmtId="10" fontId="10" fillId="0" borderId="1" xfId="0" applyNumberFormat="1" applyFont="1" applyBorder="1" applyAlignment="1">
      <alignment horizontal="center"/>
    </xf>
    <xf numFmtId="0" fontId="8" fillId="9" borderId="1" xfId="0" applyFont="1" applyFill="1" applyBorder="1" applyAlignment="1">
      <alignment vertical="center" wrapText="1"/>
    </xf>
    <xf numFmtId="0" fontId="9" fillId="9" borderId="1" xfId="0" applyFont="1" applyFill="1" applyBorder="1" applyAlignment="1">
      <alignment horizontal="center" wrapText="1"/>
    </xf>
    <xf numFmtId="9" fontId="0" fillId="0" borderId="0" xfId="0" applyNumberFormat="1"/>
    <xf numFmtId="9" fontId="0" fillId="0" borderId="1" xfId="0" applyNumberFormat="1" applyBorder="1"/>
    <xf numFmtId="0" fontId="3" fillId="0" borderId="1" xfId="0" applyFont="1" applyBorder="1"/>
    <xf numFmtId="0" fontId="11" fillId="0" borderId="0" xfId="0" applyFont="1"/>
    <xf numFmtId="0" fontId="0" fillId="0" borderId="1" xfId="0" applyBorder="1" applyAlignment="1">
      <alignment vertical="center"/>
    </xf>
    <xf numFmtId="1" fontId="0" fillId="0" borderId="0" xfId="0" applyNumberFormat="1" applyBorder="1" applyAlignment="1">
      <alignment horizontal="center" vertical="center"/>
    </xf>
    <xf numFmtId="166" fontId="0" fillId="0" borderId="1" xfId="0" applyNumberFormat="1" applyBorder="1"/>
    <xf numFmtId="1" fontId="0" fillId="0" borderId="0" xfId="0" applyNumberFormat="1" applyBorder="1" applyAlignment="1">
      <alignment horizontal="right" vertical="center"/>
    </xf>
    <xf numFmtId="0" fontId="0" fillId="0" borderId="5" xfId="0" applyBorder="1"/>
    <xf numFmtId="0" fontId="0" fillId="0" borderId="18" xfId="0" applyBorder="1"/>
    <xf numFmtId="2" fontId="0" fillId="0" borderId="18" xfId="0" applyNumberFormat="1" applyBorder="1"/>
    <xf numFmtId="9" fontId="0" fillId="0" borderId="0" xfId="0" applyNumberFormat="1" applyAlignment="1">
      <alignment vertical="center"/>
    </xf>
    <xf numFmtId="2" fontId="0" fillId="0" borderId="0" xfId="0" applyNumberFormat="1" applyBorder="1"/>
    <xf numFmtId="0" fontId="11" fillId="0" borderId="0" xfId="0" applyFont="1" applyBorder="1"/>
    <xf numFmtId="0" fontId="0" fillId="0" borderId="0" xfId="0" applyBorder="1" applyAlignment="1">
      <alignment horizontal="right"/>
    </xf>
    <xf numFmtId="0" fontId="3" fillId="0" borderId="0" xfId="0" applyFont="1" applyBorder="1"/>
    <xf numFmtId="164" fontId="0" fillId="0" borderId="0" xfId="0" applyNumberFormat="1" applyBorder="1" applyAlignment="1">
      <alignment horizontal="right" vertical="center"/>
    </xf>
    <xf numFmtId="164" fontId="0" fillId="0" borderId="0" xfId="0" applyNumberFormat="1" applyBorder="1"/>
    <xf numFmtId="167" fontId="0" fillId="0" borderId="0" xfId="0" applyNumberFormat="1" applyBorder="1"/>
    <xf numFmtId="167" fontId="3" fillId="0" borderId="0" xfId="0" applyNumberFormat="1" applyFont="1" applyBorder="1"/>
    <xf numFmtId="9" fontId="0" fillId="0" borderId="0" xfId="0" applyNumberFormat="1" applyBorder="1"/>
    <xf numFmtId="0" fontId="0" fillId="0" borderId="3" xfId="0" applyBorder="1"/>
    <xf numFmtId="0" fontId="0" fillId="0" borderId="0" xfId="0" applyFill="1"/>
    <xf numFmtId="9" fontId="0" fillId="0" borderId="5" xfId="0" applyNumberFormat="1" applyBorder="1"/>
    <xf numFmtId="0" fontId="3" fillId="0" borderId="0" xfId="0" applyFont="1" applyAlignment="1">
      <alignment horizontal="left" vertical="center" wrapText="1"/>
    </xf>
    <xf numFmtId="164" fontId="0" fillId="0" borderId="0" xfId="0" applyNumberFormat="1"/>
    <xf numFmtId="2" fontId="0" fillId="0" borderId="0" xfId="0" applyNumberFormat="1" applyFill="1" applyBorder="1"/>
    <xf numFmtId="0" fontId="3" fillId="0" borderId="1" xfId="0" applyFont="1" applyFill="1" applyBorder="1"/>
    <xf numFmtId="0" fontId="3" fillId="0" borderId="0" xfId="0" applyFont="1" applyFill="1" applyBorder="1"/>
    <xf numFmtId="0" fontId="3" fillId="0" borderId="0" xfId="0" applyFont="1" applyFill="1" applyBorder="1" applyAlignment="1">
      <alignment horizontal="center" vertical="center"/>
    </xf>
    <xf numFmtId="0" fontId="3" fillId="9" borderId="1" xfId="0" applyFont="1" applyFill="1" applyBorder="1" applyAlignment="1">
      <alignment vertical="center"/>
    </xf>
    <xf numFmtId="3" fontId="0" fillId="3" borderId="1" xfId="0" applyNumberFormat="1" applyFill="1" applyBorder="1" applyAlignment="1">
      <alignment vertical="center"/>
    </xf>
    <xf numFmtId="3" fontId="0" fillId="0" borderId="0" xfId="0" applyNumberFormat="1"/>
    <xf numFmtId="4" fontId="0" fillId="3" borderId="1" xfId="0" applyNumberFormat="1" applyFill="1" applyBorder="1" applyAlignment="1">
      <alignment vertical="center"/>
    </xf>
    <xf numFmtId="3" fontId="0" fillId="0" borderId="1" xfId="0" applyNumberFormat="1" applyBorder="1"/>
    <xf numFmtId="0" fontId="3" fillId="9" borderId="15" xfId="0" applyFont="1" applyFill="1" applyBorder="1"/>
    <xf numFmtId="0" fontId="3" fillId="9" borderId="17" xfId="0" applyFont="1" applyFill="1" applyBorder="1"/>
    <xf numFmtId="0" fontId="3" fillId="9" borderId="1" xfId="0" applyFont="1" applyFill="1" applyBorder="1" applyAlignment="1">
      <alignment horizontal="center" vertical="center"/>
    </xf>
    <xf numFmtId="0" fontId="3" fillId="9" borderId="1" xfId="0" applyFont="1" applyFill="1" applyBorder="1"/>
    <xf numFmtId="0" fontId="3" fillId="0" borderId="0" xfId="0" applyFont="1" applyAlignment="1">
      <alignment horizontal="center"/>
    </xf>
    <xf numFmtId="0" fontId="0" fillId="12" borderId="0" xfId="0" applyFill="1"/>
    <xf numFmtId="0" fontId="3" fillId="12" borderId="1" xfId="0" applyFont="1" applyFill="1" applyBorder="1"/>
    <xf numFmtId="0" fontId="3" fillId="0" borderId="1" xfId="0" applyFont="1" applyBorder="1" applyAlignment="1">
      <alignment horizontal="center"/>
    </xf>
    <xf numFmtId="0" fontId="3" fillId="9" borderId="1" xfId="0" applyFont="1" applyFill="1" applyBorder="1" applyAlignment="1">
      <alignment horizontal="center"/>
    </xf>
    <xf numFmtId="0" fontId="0" fillId="12" borderId="1" xfId="0" applyFill="1" applyBorder="1"/>
    <xf numFmtId="0" fontId="3" fillId="11" borderId="1" xfId="0" applyFont="1" applyFill="1" applyBorder="1" applyAlignment="1">
      <alignment horizontal="center" vertical="center"/>
    </xf>
    <xf numFmtId="0" fontId="15" fillId="9" borderId="1" xfId="0" applyFont="1" applyFill="1" applyBorder="1" applyAlignment="1">
      <alignment horizontal="left" vertical="center"/>
    </xf>
    <xf numFmtId="0" fontId="3" fillId="9" borderId="1" xfId="0" applyFont="1" applyFill="1" applyBorder="1" applyAlignment="1">
      <alignment horizontal="center" vertical="center" wrapText="1"/>
    </xf>
    <xf numFmtId="4" fontId="0" fillId="0" borderId="1" xfId="0" applyNumberFormat="1" applyBorder="1"/>
    <xf numFmtId="3" fontId="0" fillId="0" borderId="1" xfId="0" applyNumberFormat="1" applyBorder="1" applyAlignment="1">
      <alignment horizontal="center" vertical="center"/>
    </xf>
    <xf numFmtId="0" fontId="16" fillId="0" borderId="0" xfId="0" applyFont="1"/>
    <xf numFmtId="0" fontId="0" fillId="11" borderId="1" xfId="0" applyFill="1" applyBorder="1"/>
    <xf numFmtId="4" fontId="0" fillId="11" borderId="1" xfId="0" applyNumberFormat="1" applyFill="1" applyBorder="1"/>
    <xf numFmtId="0" fontId="3" fillId="0" borderId="0" xfId="0" applyFont="1" applyBorder="1" applyAlignment="1">
      <alignment horizontal="center" vertical="center" wrapText="1"/>
    </xf>
    <xf numFmtId="1" fontId="0" fillId="0" borderId="0" xfId="0" applyNumberFormat="1" applyBorder="1" applyAlignment="1">
      <alignment horizontal="center" wrapText="1"/>
    </xf>
    <xf numFmtId="3" fontId="5" fillId="8" borderId="1" xfId="0" applyNumberFormat="1" applyFont="1" applyFill="1" applyBorder="1"/>
    <xf numFmtId="3" fontId="0" fillId="0" borderId="1" xfId="0" applyNumberFormat="1" applyFill="1" applyBorder="1"/>
    <xf numFmtId="3" fontId="0" fillId="11" borderId="1" xfId="0" applyNumberFormat="1" applyFill="1" applyBorder="1"/>
    <xf numFmtId="10" fontId="0" fillId="0" borderId="1" xfId="1" applyNumberFormat="1" applyFont="1" applyBorder="1"/>
    <xf numFmtId="0" fontId="3" fillId="9" borderId="0" xfId="0" applyFont="1" applyFill="1"/>
    <xf numFmtId="1" fontId="0" fillId="12" borderId="1" xfId="0" applyNumberFormat="1" applyFill="1" applyBorder="1"/>
    <xf numFmtId="3" fontId="0" fillId="9"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 fontId="3" fillId="9" borderId="1" xfId="0" applyNumberFormat="1" applyFont="1" applyFill="1" applyBorder="1" applyAlignment="1">
      <alignment horizontal="center" vertical="center"/>
    </xf>
    <xf numFmtId="164" fontId="3" fillId="12" borderId="1" xfId="0" applyNumberFormat="1" applyFont="1" applyFill="1" applyBorder="1"/>
    <xf numFmtId="169" fontId="0" fillId="12" borderId="1" xfId="0" applyNumberFormat="1" applyFill="1" applyBorder="1"/>
    <xf numFmtId="4" fontId="0" fillId="0" borderId="0" xfId="0" applyNumberFormat="1"/>
    <xf numFmtId="168" fontId="0" fillId="0" borderId="0" xfId="0" applyNumberFormat="1"/>
    <xf numFmtId="3" fontId="0" fillId="0" borderId="0" xfId="0" applyNumberFormat="1" applyAlignment="1">
      <alignment horizontal="center" vertical="center"/>
    </xf>
    <xf numFmtId="169" fontId="3" fillId="9" borderId="0" xfId="0" applyNumberFormat="1" applyFont="1" applyFill="1" applyAlignment="1">
      <alignment horizontal="center" vertical="center"/>
    </xf>
    <xf numFmtId="169" fontId="3" fillId="0" borderId="1" xfId="0" applyNumberFormat="1" applyFont="1" applyBorder="1"/>
    <xf numFmtId="169" fontId="3" fillId="9" borderId="1" xfId="0" applyNumberFormat="1" applyFont="1" applyFill="1" applyBorder="1" applyAlignment="1">
      <alignment horizontal="center" vertical="center"/>
    </xf>
    <xf numFmtId="169" fontId="0" fillId="0" borderId="1" xfId="0" applyNumberFormat="1" applyBorder="1" applyAlignment="1">
      <alignment horizontal="right" vertical="center"/>
    </xf>
    <xf numFmtId="169" fontId="0" fillId="0" borderId="1" xfId="0" applyNumberFormat="1" applyBorder="1" applyAlignment="1">
      <alignment horizontal="right"/>
    </xf>
    <xf numFmtId="3" fontId="0" fillId="12" borderId="1" xfId="0" applyNumberFormat="1" applyFill="1" applyBorder="1" applyAlignment="1">
      <alignment horizontal="center" vertical="center"/>
    </xf>
    <xf numFmtId="3" fontId="0" fillId="0" borderId="5" xfId="0" applyNumberFormat="1" applyBorder="1"/>
    <xf numFmtId="3" fontId="3" fillId="12" borderId="2" xfId="0" applyNumberFormat="1" applyFont="1" applyFill="1" applyBorder="1"/>
    <xf numFmtId="0" fontId="5" fillId="11" borderId="1" xfId="0" applyFont="1" applyFill="1" applyBorder="1" applyAlignment="1">
      <alignment horizontal="center" vertical="center"/>
    </xf>
    <xf numFmtId="0" fontId="3" fillId="9" borderId="3" xfId="0" applyFont="1" applyFill="1" applyBorder="1"/>
    <xf numFmtId="3" fontId="0" fillId="0" borderId="1" xfId="0" applyNumberFormat="1" applyBorder="1" applyAlignment="1">
      <alignment horizontal="center"/>
    </xf>
    <xf numFmtId="3" fontId="0" fillId="3" borderId="1" xfId="0" applyNumberFormat="1" applyFill="1" applyBorder="1" applyAlignment="1">
      <alignment horizontal="center" vertical="center"/>
    </xf>
    <xf numFmtId="3" fontId="0" fillId="12" borderId="0" xfId="0" applyNumberFormat="1" applyFill="1" applyAlignment="1">
      <alignment horizontal="center"/>
    </xf>
    <xf numFmtId="0" fontId="3" fillId="9" borderId="1" xfId="0" applyFont="1" applyFill="1" applyBorder="1" applyAlignment="1">
      <alignment horizontal="right"/>
    </xf>
    <xf numFmtId="166" fontId="0" fillId="9" borderId="1" xfId="0" applyNumberFormat="1" applyFill="1" applyBorder="1"/>
    <xf numFmtId="0" fontId="18" fillId="10" borderId="1" xfId="0" applyFont="1" applyFill="1" applyBorder="1" applyAlignment="1">
      <alignment horizontal="right"/>
    </xf>
    <xf numFmtId="2" fontId="18" fillId="10" borderId="1" xfId="0" applyNumberFormat="1" applyFont="1" applyFill="1" applyBorder="1"/>
    <xf numFmtId="166" fontId="18" fillId="10" borderId="1" xfId="0" applyNumberFormat="1" applyFont="1" applyFill="1" applyBorder="1"/>
    <xf numFmtId="0" fontId="19" fillId="0" borderId="0" xfId="0" applyFont="1"/>
    <xf numFmtId="3" fontId="0" fillId="9" borderId="1" xfId="0" applyNumberFormat="1" applyFill="1" applyBorder="1"/>
    <xf numFmtId="0" fontId="11" fillId="9" borderId="1" xfId="0" applyFont="1" applyFill="1" applyBorder="1"/>
    <xf numFmtId="164" fontId="0" fillId="0" borderId="5" xfId="0" applyNumberFormat="1" applyBorder="1"/>
    <xf numFmtId="0" fontId="12" fillId="9" borderId="12" xfId="0" applyFont="1" applyFill="1" applyBorder="1"/>
    <xf numFmtId="166" fontId="21" fillId="0" borderId="14" xfId="0" applyNumberFormat="1" applyFont="1" applyBorder="1" applyAlignment="1">
      <alignment horizontal="right"/>
    </xf>
    <xf numFmtId="0" fontId="12" fillId="9" borderId="15" xfId="0" applyFont="1" applyFill="1" applyBorder="1"/>
    <xf numFmtId="0" fontId="12" fillId="9" borderId="17" xfId="0" applyFont="1" applyFill="1" applyBorder="1"/>
    <xf numFmtId="2" fontId="21" fillId="0" borderId="14" xfId="0" applyNumberFormat="1" applyFont="1" applyBorder="1" applyAlignment="1">
      <alignment horizontal="right"/>
    </xf>
    <xf numFmtId="164" fontId="21" fillId="12" borderId="16" xfId="0" applyNumberFormat="1" applyFont="1" applyFill="1" applyBorder="1" applyAlignment="1">
      <alignment horizontal="right"/>
    </xf>
    <xf numFmtId="9" fontId="21" fillId="12" borderId="19" xfId="0" applyNumberFormat="1" applyFont="1" applyFill="1" applyBorder="1" applyAlignment="1">
      <alignment horizontal="right"/>
    </xf>
    <xf numFmtId="9" fontId="3" fillId="12" borderId="1" xfId="0" applyNumberFormat="1" applyFont="1" applyFill="1" applyBorder="1"/>
    <xf numFmtId="0" fontId="17" fillId="9" borderId="1" xfId="0" applyFont="1" applyFill="1" applyBorder="1"/>
    <xf numFmtId="9" fontId="3" fillId="0" borderId="1" xfId="0" applyNumberFormat="1" applyFont="1" applyBorder="1"/>
    <xf numFmtId="165" fontId="3" fillId="0" borderId="1" xfId="0" applyNumberFormat="1" applyFont="1" applyBorder="1"/>
    <xf numFmtId="165" fontId="3" fillId="0" borderId="1" xfId="0" applyNumberFormat="1" applyFont="1" applyFill="1" applyBorder="1"/>
    <xf numFmtId="0" fontId="3" fillId="9" borderId="1" xfId="0" applyFont="1" applyFill="1" applyBorder="1" applyAlignment="1">
      <alignment vertical="center" wrapText="1"/>
    </xf>
    <xf numFmtId="0" fontId="3" fillId="12" borderId="1" xfId="0" applyFont="1" applyFill="1" applyBorder="1" applyAlignment="1">
      <alignment vertical="center" wrapText="1"/>
    </xf>
    <xf numFmtId="166" fontId="3" fillId="12" borderId="1" xfId="0" applyNumberFormat="1" applyFont="1" applyFill="1" applyBorder="1" applyAlignment="1">
      <alignment vertical="center" wrapText="1"/>
    </xf>
    <xf numFmtId="2" fontId="3" fillId="12" borderId="1" xfId="0" applyNumberFormat="1" applyFont="1" applyFill="1" applyBorder="1"/>
    <xf numFmtId="0" fontId="3" fillId="0" borderId="20" xfId="0" applyFont="1" applyBorder="1" applyAlignment="1">
      <alignment vertical="center"/>
    </xf>
    <xf numFmtId="0" fontId="3" fillId="0" borderId="0" xfId="0" applyFont="1" applyBorder="1" applyAlignment="1">
      <alignment vertical="center"/>
    </xf>
    <xf numFmtId="0" fontId="17" fillId="9" borderId="1" xfId="0" applyFont="1" applyFill="1" applyBorder="1" applyAlignment="1">
      <alignment horizontal="center"/>
    </xf>
    <xf numFmtId="3" fontId="3" fillId="12" borderId="1" xfId="0" applyNumberFormat="1" applyFont="1" applyFill="1" applyBorder="1"/>
    <xf numFmtId="3" fontId="3" fillId="12" borderId="1" xfId="0" applyNumberFormat="1" applyFont="1" applyFill="1" applyBorder="1" applyAlignment="1">
      <alignment horizontal="center" vertical="center"/>
    </xf>
    <xf numFmtId="9" fontId="0" fillId="3" borderId="1" xfId="0" applyNumberFormat="1" applyFill="1" applyBorder="1"/>
    <xf numFmtId="164" fontId="0" fillId="12" borderId="1" xfId="0" applyNumberFormat="1" applyFill="1" applyBorder="1"/>
    <xf numFmtId="3" fontId="0" fillId="12" borderId="1" xfId="0" applyNumberFormat="1" applyFill="1" applyBorder="1"/>
    <xf numFmtId="3" fontId="0" fillId="0" borderId="0" xfId="0" applyNumberFormat="1" applyFill="1" applyBorder="1" applyAlignment="1">
      <alignment horizontal="center" vertical="center"/>
    </xf>
    <xf numFmtId="0" fontId="3" fillId="0" borderId="0" xfId="0" applyFont="1" applyFill="1" applyAlignment="1">
      <alignment horizontal="center" vertical="center"/>
    </xf>
    <xf numFmtId="3" fontId="3" fillId="9" borderId="1" xfId="0" applyNumberFormat="1" applyFont="1" applyFill="1" applyBorder="1" applyAlignment="1">
      <alignment horizontal="center" vertical="center" wrapText="1"/>
    </xf>
    <xf numFmtId="4" fontId="3" fillId="0" borderId="1" xfId="0" applyNumberFormat="1" applyFont="1" applyBorder="1"/>
    <xf numFmtId="0" fontId="12" fillId="0" borderId="0" xfId="0" applyFont="1" applyFill="1" applyAlignment="1">
      <alignment horizontal="center" vertical="center" wrapText="1"/>
    </xf>
    <xf numFmtId="0" fontId="3" fillId="0" borderId="0" xfId="0" applyFont="1" applyFill="1" applyBorder="1" applyAlignment="1">
      <alignment horizontal="center"/>
    </xf>
    <xf numFmtId="10" fontId="0" fillId="0" borderId="0" xfId="1" applyNumberFormat="1" applyFont="1" applyFill="1" applyBorder="1"/>
    <xf numFmtId="0" fontId="22" fillId="0" borderId="0" xfId="3"/>
    <xf numFmtId="0" fontId="3" fillId="0" borderId="0" xfId="0" applyFont="1" applyFill="1" applyBorder="1" applyAlignment="1"/>
    <xf numFmtId="164" fontId="0" fillId="0" borderId="0" xfId="0" applyNumberFormat="1" applyFill="1" applyBorder="1"/>
    <xf numFmtId="164" fontId="3" fillId="0" borderId="0" xfId="0" applyNumberFormat="1" applyFont="1" applyFill="1" applyBorder="1"/>
    <xf numFmtId="3" fontId="3" fillId="12" borderId="1" xfId="0" applyNumberFormat="1" applyFont="1" applyFill="1" applyBorder="1" applyAlignment="1">
      <alignment horizontal="center" wrapText="1"/>
    </xf>
    <xf numFmtId="3"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vertical="center" wrapText="1"/>
    </xf>
    <xf numFmtId="3" fontId="3" fillId="12"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0" fontId="3" fillId="9" borderId="3" xfId="0" applyFont="1" applyFill="1" applyBorder="1" applyAlignment="1">
      <alignment horizontal="center" vertical="center"/>
    </xf>
    <xf numFmtId="169" fontId="0" fillId="0" borderId="3" xfId="0" applyNumberFormat="1" applyBorder="1" applyAlignment="1">
      <alignment horizontal="right" vertical="center"/>
    </xf>
    <xf numFmtId="169" fontId="0" fillId="0" borderId="3" xfId="0" applyNumberFormat="1" applyBorder="1" applyAlignment="1">
      <alignment horizontal="right"/>
    </xf>
    <xf numFmtId="0" fontId="3" fillId="9" borderId="0" xfId="0" applyFont="1" applyFill="1" applyBorder="1" applyAlignment="1">
      <alignment horizontal="center" vertical="center"/>
    </xf>
    <xf numFmtId="169" fontId="0" fillId="0" borderId="0" xfId="0" applyNumberFormat="1" applyBorder="1" applyAlignment="1">
      <alignment horizontal="right" vertical="center"/>
    </xf>
    <xf numFmtId="169" fontId="0" fillId="0" borderId="0" xfId="0" applyNumberFormat="1" applyBorder="1" applyAlignment="1">
      <alignment horizontal="right"/>
    </xf>
    <xf numFmtId="2" fontId="0" fillId="0" borderId="0" xfId="0" applyNumberFormat="1" applyBorder="1" applyAlignment="1">
      <alignment horizontal="center" vertical="center"/>
    </xf>
    <xf numFmtId="9" fontId="0" fillId="9" borderId="1" xfId="0" applyNumberFormat="1" applyFill="1" applyBorder="1"/>
    <xf numFmtId="2" fontId="0" fillId="0" borderId="0" xfId="0" applyNumberFormat="1" applyFill="1" applyBorder="1" applyAlignment="1">
      <alignment horizontal="center"/>
    </xf>
    <xf numFmtId="4" fontId="0" fillId="0" borderId="0" xfId="0" applyNumberFormat="1" applyFill="1" applyBorder="1"/>
    <xf numFmtId="169" fontId="0" fillId="0" borderId="0" xfId="0" applyNumberFormat="1" applyFill="1" applyBorder="1"/>
    <xf numFmtId="3" fontId="0" fillId="0" borderId="6" xfId="0" applyNumberFormat="1" applyBorder="1"/>
    <xf numFmtId="3" fontId="3" fillId="9" borderId="2" xfId="0" applyNumberFormat="1" applyFont="1" applyFill="1" applyBorder="1"/>
    <xf numFmtId="3" fontId="0" fillId="0" borderId="1" xfId="0" applyNumberFormat="1" applyBorder="1" applyAlignment="1">
      <alignment horizontal="center"/>
    </xf>
    <xf numFmtId="0" fontId="0" fillId="0" borderId="0" xfId="0"/>
    <xf numFmtId="0" fontId="3" fillId="0" borderId="0" xfId="0" applyFont="1" applyAlignment="1">
      <alignment vertical="center" wrapText="1"/>
    </xf>
    <xf numFmtId="0" fontId="3" fillId="9" borderId="1" xfId="0" applyFont="1" applyFill="1" applyBorder="1"/>
    <xf numFmtId="0" fontId="3" fillId="0" borderId="0" xfId="0" applyFont="1"/>
    <xf numFmtId="164" fontId="0" fillId="0" borderId="0" xfId="0" applyNumberFormat="1" applyFill="1" applyBorder="1"/>
    <xf numFmtId="9" fontId="3" fillId="0" borderId="0" xfId="0" applyNumberFormat="1" applyFont="1" applyFill="1" applyBorder="1"/>
    <xf numFmtId="9" fontId="3" fillId="0" borderId="1" xfId="0" applyNumberFormat="1" applyFont="1" applyBorder="1" applyAlignment="1">
      <alignment horizontal="center"/>
    </xf>
    <xf numFmtId="170" fontId="0" fillId="12" borderId="1" xfId="0" applyNumberFormat="1" applyFill="1" applyBorder="1" applyAlignment="1">
      <alignment horizontal="center"/>
    </xf>
    <xf numFmtId="0" fontId="0" fillId="0" borderId="0" xfId="0"/>
    <xf numFmtId="0" fontId="0" fillId="0" borderId="0" xfId="0" quotePrefix="1"/>
    <xf numFmtId="2" fontId="0" fillId="0" borderId="1" xfId="0" applyNumberFormat="1" applyBorder="1" applyAlignment="1">
      <alignment horizontal="center" vertical="center"/>
    </xf>
    <xf numFmtId="0" fontId="3" fillId="0" borderId="0" xfId="0" applyFont="1"/>
    <xf numFmtId="164" fontId="0" fillId="0" borderId="0" xfId="0" applyNumberFormat="1" applyFill="1" applyBorder="1"/>
    <xf numFmtId="164" fontId="3" fillId="0" borderId="0" xfId="0" applyNumberFormat="1" applyFont="1" applyFill="1" applyBorder="1"/>
    <xf numFmtId="0" fontId="3" fillId="0" borderId="1" xfId="0" applyFont="1" applyBorder="1" applyAlignment="1">
      <alignment horizontal="center"/>
    </xf>
    <xf numFmtId="3" fontId="0" fillId="0" borderId="1" xfId="0" applyNumberFormat="1" applyBorder="1" applyAlignment="1">
      <alignment horizontal="center" vertical="center"/>
    </xf>
    <xf numFmtId="3" fontId="0" fillId="9"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 fontId="3" fillId="9" borderId="1" xfId="0" applyNumberFormat="1" applyFont="1" applyFill="1" applyBorder="1" applyAlignment="1">
      <alignment horizontal="center" vertical="center"/>
    </xf>
    <xf numFmtId="3" fontId="0" fillId="12" borderId="1" xfId="0" applyNumberFormat="1" applyFill="1" applyBorder="1" applyAlignment="1">
      <alignment horizontal="center" vertical="center"/>
    </xf>
    <xf numFmtId="0" fontId="5" fillId="11" borderId="1" xfId="0" applyFont="1" applyFill="1" applyBorder="1" applyAlignment="1">
      <alignment horizontal="center" vertical="center"/>
    </xf>
    <xf numFmtId="0" fontId="0" fillId="0" borderId="1" xfId="0" applyBorder="1"/>
    <xf numFmtId="0" fontId="0" fillId="0" borderId="1" xfId="0" applyBorder="1" applyAlignment="1">
      <alignment vertical="center"/>
    </xf>
    <xf numFmtId="0" fontId="3" fillId="9" borderId="1" xfId="0" applyFont="1" applyFill="1" applyBorder="1" applyAlignment="1">
      <alignment horizontal="center" vertical="center"/>
    </xf>
    <xf numFmtId="3" fontId="0" fillId="0" borderId="1" xfId="0" applyNumberFormat="1" applyBorder="1"/>
    <xf numFmtId="0" fontId="3" fillId="0" borderId="26" xfId="0" applyFont="1" applyBorder="1"/>
    <xf numFmtId="0" fontId="3" fillId="0" borderId="25" xfId="0" applyFont="1" applyBorder="1"/>
    <xf numFmtId="0" fontId="3" fillId="0" borderId="27" xfId="0" applyFont="1" applyFill="1" applyBorder="1"/>
    <xf numFmtId="0" fontId="3" fillId="0" borderId="0" xfId="0" applyFont="1" applyAlignment="1">
      <alignment horizontal="center"/>
    </xf>
    <xf numFmtId="171" fontId="0" fillId="12" borderId="1" xfId="0" applyNumberFormat="1" applyFill="1" applyBorder="1" applyAlignment="1">
      <alignment horizontal="center"/>
    </xf>
    <xf numFmtId="9" fontId="3" fillId="0" borderId="26" xfId="0" applyNumberFormat="1" applyFont="1" applyFill="1" applyBorder="1"/>
    <xf numFmtId="0" fontId="0" fillId="0" borderId="0" xfId="0" applyBorder="1"/>
    <xf numFmtId="3" fontId="0" fillId="0" borderId="0" xfId="0" applyNumberFormat="1" applyBorder="1"/>
    <xf numFmtId="0" fontId="0" fillId="0" borderId="1" xfId="0" applyBorder="1" applyAlignment="1">
      <alignment horizontal="center"/>
    </xf>
    <xf numFmtId="0" fontId="0" fillId="0" borderId="10" xfId="0" applyBorder="1" applyAlignment="1">
      <alignment horizontal="center"/>
    </xf>
    <xf numFmtId="169" fontId="3" fillId="12" borderId="1" xfId="0" applyNumberFormat="1" applyFont="1" applyFill="1" applyBorder="1" applyAlignment="1">
      <alignment vertical="center" wrapText="1"/>
    </xf>
    <xf numFmtId="172" fontId="0" fillId="12" borderId="1" xfId="0" applyNumberFormat="1" applyFill="1" applyBorder="1"/>
    <xf numFmtId="9" fontId="3" fillId="0" borderId="5" xfId="0" applyNumberFormat="1" applyFont="1" applyBorder="1"/>
    <xf numFmtId="164" fontId="0" fillId="12" borderId="5" xfId="0" applyNumberFormat="1" applyFill="1" applyBorder="1"/>
    <xf numFmtId="0" fontId="0" fillId="0" borderId="20" xfId="0" applyBorder="1"/>
    <xf numFmtId="164" fontId="0" fillId="0" borderId="20" xfId="0" applyNumberFormat="1" applyBorder="1"/>
    <xf numFmtId="172" fontId="0" fillId="12" borderId="5" xfId="0" applyNumberFormat="1" applyFill="1" applyBorder="1"/>
    <xf numFmtId="0" fontId="0" fillId="0" borderId="21" xfId="0" applyBorder="1"/>
    <xf numFmtId="164" fontId="0" fillId="0" borderId="21" xfId="0" applyNumberFormat="1" applyBorder="1"/>
    <xf numFmtId="3" fontId="3" fillId="12" borderId="31" xfId="0" applyNumberFormat="1" applyFont="1" applyFill="1" applyBorder="1" applyAlignment="1"/>
    <xf numFmtId="3" fontId="3" fillId="12" borderId="32" xfId="0" applyNumberFormat="1" applyFont="1" applyFill="1" applyBorder="1" applyAlignment="1"/>
    <xf numFmtId="3" fontId="0" fillId="12" borderId="1" xfId="0" applyNumberFormat="1" applyFill="1" applyBorder="1" applyAlignment="1">
      <alignment horizontal="center"/>
    </xf>
    <xf numFmtId="9" fontId="0" fillId="0" borderId="1" xfId="0" applyNumberFormat="1" applyBorder="1" applyAlignment="1">
      <alignment horizontal="center"/>
    </xf>
    <xf numFmtId="9" fontId="0" fillId="0" borderId="1" xfId="0" applyNumberFormat="1" applyFont="1" applyBorder="1" applyAlignment="1">
      <alignment horizontal="center"/>
    </xf>
    <xf numFmtId="169" fontId="0" fillId="12" borderId="1" xfId="0" applyNumberFormat="1" applyFill="1" applyBorder="1" applyAlignment="1">
      <alignment horizontal="center"/>
    </xf>
    <xf numFmtId="0" fontId="0" fillId="0" borderId="33" xfId="0" applyBorder="1"/>
    <xf numFmtId="9" fontId="3" fillId="0" borderId="34" xfId="0" applyNumberFormat="1" applyFont="1" applyFill="1" applyBorder="1"/>
    <xf numFmtId="3" fontId="0" fillId="0" borderId="36" xfId="0" applyNumberFormat="1" applyBorder="1"/>
    <xf numFmtId="166" fontId="0" fillId="0" borderId="37" xfId="0" applyNumberFormat="1" applyFont="1" applyFill="1" applyBorder="1"/>
    <xf numFmtId="2" fontId="0" fillId="0" borderId="35" xfId="0" applyNumberFormat="1" applyBorder="1"/>
    <xf numFmtId="166" fontId="0" fillId="12" borderId="1" xfId="0" applyNumberFormat="1" applyFill="1" applyBorder="1" applyAlignment="1">
      <alignment horizontal="center"/>
    </xf>
    <xf numFmtId="9" fontId="3" fillId="0" borderId="0" xfId="0" applyNumberFormat="1" applyFont="1" applyFill="1" applyBorder="1" applyAlignment="1">
      <alignment horizontal="center"/>
    </xf>
    <xf numFmtId="174" fontId="0" fillId="0" borderId="0" xfId="0" applyNumberFormat="1"/>
    <xf numFmtId="166" fontId="0" fillId="0" borderId="0" xfId="0" applyNumberFormat="1"/>
    <xf numFmtId="173" fontId="0" fillId="0" borderId="0" xfId="0" applyNumberFormat="1"/>
    <xf numFmtId="2" fontId="0" fillId="12" borderId="1" xfId="0" applyNumberFormat="1" applyFill="1" applyBorder="1"/>
    <xf numFmtId="166" fontId="0" fillId="0" borderId="36" xfId="0" applyNumberFormat="1" applyBorder="1"/>
    <xf numFmtId="166" fontId="0" fillId="13" borderId="29" xfId="0" applyNumberFormat="1" applyFill="1" applyBorder="1"/>
    <xf numFmtId="9" fontId="0" fillId="0" borderId="0" xfId="0" applyNumberFormat="1" applyFill="1" applyBorder="1"/>
    <xf numFmtId="3" fontId="0" fillId="13" borderId="29" xfId="0" applyNumberFormat="1" applyFill="1" applyBorder="1"/>
    <xf numFmtId="166" fontId="0" fillId="13" borderId="30" xfId="0" applyNumberFormat="1" applyFill="1" applyBorder="1"/>
    <xf numFmtId="0" fontId="3" fillId="0" borderId="1" xfId="0" applyFont="1" applyFill="1" applyBorder="1" applyAlignment="1">
      <alignment horizontal="center" vertical="center"/>
    </xf>
    <xf numFmtId="3" fontId="3" fillId="14" borderId="1" xfId="0" applyNumberFormat="1" applyFont="1" applyFill="1" applyBorder="1" applyAlignment="1">
      <alignment horizontal="center" vertical="center"/>
    </xf>
    <xf numFmtId="3" fontId="3" fillId="14" borderId="1" xfId="0" applyNumberFormat="1" applyFont="1" applyFill="1" applyBorder="1"/>
    <xf numFmtId="3" fontId="0" fillId="0" borderId="0" xfId="0" applyNumberFormat="1" applyAlignment="1">
      <alignment horizontal="center"/>
    </xf>
    <xf numFmtId="175" fontId="0" fillId="14" borderId="1" xfId="0" applyNumberFormat="1" applyFill="1" applyBorder="1"/>
    <xf numFmtId="9" fontId="0" fillId="0" borderId="1" xfId="0" applyNumberFormat="1" applyFill="1" applyBorder="1"/>
    <xf numFmtId="166" fontId="0" fillId="0" borderId="0" xfId="0" applyNumberFormat="1" applyBorder="1"/>
    <xf numFmtId="166" fontId="0" fillId="0" borderId="0" xfId="0" applyNumberFormat="1" applyFill="1" applyBorder="1"/>
    <xf numFmtId="166" fontId="0" fillId="13" borderId="28" xfId="0" applyNumberFormat="1" applyFill="1" applyBorder="1"/>
    <xf numFmtId="10" fontId="0" fillId="0" borderId="0" xfId="1" applyNumberFormat="1" applyFont="1"/>
    <xf numFmtId="1" fontId="0" fillId="0" borderId="0" xfId="1" applyNumberFormat="1" applyFont="1"/>
    <xf numFmtId="166" fontId="0" fillId="0" borderId="0" xfId="0" applyNumberFormat="1" applyAlignment="1">
      <alignment horizontal="center"/>
    </xf>
    <xf numFmtId="166" fontId="0" fillId="0" borderId="0" xfId="0" applyNumberFormat="1" applyFont="1" applyFill="1" applyBorder="1"/>
    <xf numFmtId="170" fontId="0" fillId="0" borderId="0" xfId="0" applyNumberFormat="1" applyFill="1" applyBorder="1" applyAlignment="1">
      <alignment horizontal="center"/>
    </xf>
    <xf numFmtId="173" fontId="3" fillId="0" borderId="0" xfId="0" applyNumberFormat="1" applyFont="1" applyFill="1" applyBorder="1"/>
    <xf numFmtId="166" fontId="0" fillId="0" borderId="6" xfId="0" applyNumberFormat="1" applyBorder="1" applyAlignment="1">
      <alignment horizontal="center"/>
    </xf>
    <xf numFmtId="166" fontId="24" fillId="4" borderId="6" xfId="1" applyNumberFormat="1" applyFont="1" applyFill="1" applyBorder="1" applyAlignment="1">
      <alignment horizontal="center"/>
    </xf>
    <xf numFmtId="0" fontId="3" fillId="9" borderId="6" xfId="0" applyFont="1" applyFill="1" applyBorder="1"/>
    <xf numFmtId="0" fontId="16" fillId="0" borderId="0" xfId="0" applyFont="1" applyFill="1" applyBorder="1"/>
    <xf numFmtId="171" fontId="24" fillId="0" borderId="0" xfId="0" applyNumberFormat="1" applyFont="1" applyFill="1" applyBorder="1" applyAlignment="1">
      <alignment horizontal="center"/>
    </xf>
    <xf numFmtId="2" fontId="0" fillId="0" borderId="1" xfId="0" applyNumberFormat="1" applyFill="1" applyBorder="1"/>
    <xf numFmtId="2" fontId="0" fillId="0" borderId="18" xfId="0" applyNumberFormat="1" applyFill="1" applyBorder="1"/>
    <xf numFmtId="0" fontId="0" fillId="0" borderId="0" xfId="0" applyAlignment="1">
      <alignment horizontal="center"/>
    </xf>
    <xf numFmtId="0" fontId="0" fillId="0" borderId="0" xfId="0"/>
    <xf numFmtId="0" fontId="3" fillId="0" borderId="0" xfId="0" applyFont="1" applyAlignment="1"/>
    <xf numFmtId="0" fontId="29" fillId="0" borderId="0" xfId="0" applyFont="1" applyAlignment="1">
      <alignment horizontal="right"/>
    </xf>
    <xf numFmtId="2" fontId="3" fillId="0" borderId="0" xfId="0" applyNumberFormat="1" applyFont="1" applyAlignment="1">
      <alignment horizontal="center"/>
    </xf>
    <xf numFmtId="0" fontId="24" fillId="0" borderId="0" xfId="0" applyFont="1"/>
    <xf numFmtId="0" fontId="0" fillId="0" borderId="10" xfId="0" applyBorder="1"/>
    <xf numFmtId="0" fontId="0" fillId="0" borderId="0" xfId="0" applyAlignment="1"/>
    <xf numFmtId="0" fontId="3" fillId="15" borderId="0" xfId="0" applyFont="1" applyFill="1" applyAlignment="1">
      <alignment horizontal="right"/>
    </xf>
    <xf numFmtId="2" fontId="3" fillId="15" borderId="0" xfId="0" applyNumberFormat="1" applyFont="1" applyFill="1" applyAlignment="1">
      <alignment horizontal="center"/>
    </xf>
    <xf numFmtId="0" fontId="3" fillId="15" borderId="0" xfId="0" applyFont="1" applyFill="1"/>
    <xf numFmtId="2" fontId="0" fillId="15" borderId="0" xfId="0" applyNumberFormat="1" applyFill="1"/>
    <xf numFmtId="0" fontId="0" fillId="15" borderId="0" xfId="0" applyFill="1"/>
    <xf numFmtId="0" fontId="3" fillId="16" borderId="0" xfId="0" applyFont="1" applyFill="1" applyAlignment="1">
      <alignment horizontal="right"/>
    </xf>
    <xf numFmtId="2" fontId="3" fillId="16" borderId="0" xfId="0" applyNumberFormat="1" applyFont="1" applyFill="1" applyAlignment="1">
      <alignment horizontal="center"/>
    </xf>
    <xf numFmtId="0" fontId="3" fillId="16" borderId="0" xfId="0" applyFont="1" applyFill="1"/>
    <xf numFmtId="2" fontId="0" fillId="16" borderId="0" xfId="0" applyNumberFormat="1" applyFill="1"/>
    <xf numFmtId="0" fontId="0" fillId="16" borderId="0" xfId="0" applyFill="1"/>
    <xf numFmtId="0" fontId="0" fillId="17" borderId="0" xfId="0" applyFill="1" applyAlignment="1">
      <alignment horizontal="center"/>
    </xf>
    <xf numFmtId="0" fontId="3" fillId="9" borderId="1" xfId="0" applyFont="1" applyFill="1" applyBorder="1" applyAlignment="1">
      <alignment horizontal="center" vertical="center"/>
    </xf>
    <xf numFmtId="3" fontId="0" fillId="0" borderId="1" xfId="0" applyNumberFormat="1" applyBorder="1" applyAlignment="1">
      <alignment horizontal="center" vertical="center" wrapText="1"/>
    </xf>
    <xf numFmtId="3" fontId="0" fillId="0" borderId="10" xfId="0" applyNumberFormat="1" applyBorder="1"/>
    <xf numFmtId="0" fontId="0" fillId="4" borderId="0" xfId="0" applyFill="1"/>
    <xf numFmtId="0" fontId="3" fillId="9" borderId="1" xfId="0" applyFont="1" applyFill="1" applyBorder="1" applyAlignment="1">
      <alignment horizontal="center" vertical="center"/>
    </xf>
    <xf numFmtId="0" fontId="0" fillId="0" borderId="0" xfId="0"/>
    <xf numFmtId="3" fontId="3" fillId="9" borderId="1" xfId="0" applyNumberFormat="1" applyFont="1" applyFill="1" applyBorder="1" applyAlignment="1">
      <alignment vertical="center" wrapText="1"/>
    </xf>
    <xf numFmtId="4" fontId="0" fillId="0" borderId="1" xfId="0" applyNumberFormat="1" applyBorder="1" applyAlignment="1">
      <alignment horizontal="center"/>
    </xf>
    <xf numFmtId="0" fontId="0" fillId="0" borderId="1" xfId="0" applyBorder="1" applyAlignment="1">
      <alignment horizontal="center"/>
    </xf>
    <xf numFmtId="0" fontId="3" fillId="9" borderId="1" xfId="0" applyFont="1" applyFill="1" applyBorder="1" applyAlignment="1">
      <alignment horizontal="center" vertical="center" wrapText="1"/>
    </xf>
    <xf numFmtId="4" fontId="0" fillId="0" borderId="0" xfId="0" applyNumberFormat="1" applyFill="1" applyBorder="1" applyAlignment="1">
      <alignment horizontal="center"/>
    </xf>
    <xf numFmtId="0" fontId="0" fillId="0" borderId="0" xfId="0" applyAlignment="1">
      <alignment horizontal="center"/>
    </xf>
    <xf numFmtId="0" fontId="3" fillId="12" borderId="1" xfId="0" applyFont="1" applyFill="1" applyBorder="1" applyAlignment="1">
      <alignment horizontal="center"/>
    </xf>
    <xf numFmtId="2" fontId="0" fillId="0" borderId="1" xfId="0" applyNumberFormat="1" applyBorder="1" applyAlignment="1">
      <alignment horizontal="center"/>
    </xf>
    <xf numFmtId="2" fontId="0" fillId="0" borderId="0" xfId="0" applyNumberFormat="1" applyFill="1" applyBorder="1" applyAlignment="1">
      <alignment horizontal="center"/>
    </xf>
    <xf numFmtId="0" fontId="13" fillId="9" borderId="1" xfId="0" applyFont="1" applyFill="1" applyBorder="1" applyAlignment="1">
      <alignment horizontal="center" vertical="center" wrapText="1"/>
    </xf>
    <xf numFmtId="0" fontId="0" fillId="0" borderId="1" xfId="0" applyBorder="1" applyAlignment="1">
      <alignment horizontal="center" vertical="center"/>
    </xf>
    <xf numFmtId="0" fontId="3" fillId="12" borderId="0" xfId="0" applyFont="1" applyFill="1" applyAlignment="1">
      <alignment horizontal="center" vertical="center" wrapText="1"/>
    </xf>
    <xf numFmtId="0" fontId="3" fillId="12" borderId="0" xfId="0" applyFont="1" applyFill="1" applyAlignment="1">
      <alignment horizontal="center" vertical="center"/>
    </xf>
    <xf numFmtId="169" fontId="0" fillId="12" borderId="1" xfId="0" applyNumberFormat="1" applyFill="1" applyBorder="1" applyAlignment="1">
      <alignment horizontal="center" vertical="center"/>
    </xf>
    <xf numFmtId="169" fontId="0" fillId="12" borderId="16" xfId="0" applyNumberFormat="1" applyFill="1" applyBorder="1" applyAlignment="1">
      <alignment horizontal="center" vertical="center"/>
    </xf>
    <xf numFmtId="0" fontId="0" fillId="0" borderId="0" xfId="0" applyBorder="1" applyAlignment="1">
      <alignment horizontal="center"/>
    </xf>
    <xf numFmtId="0" fontId="3" fillId="9" borderId="1" xfId="0" applyFont="1" applyFill="1" applyBorder="1" applyAlignment="1">
      <alignment horizontal="center" vertical="center"/>
    </xf>
    <xf numFmtId="0" fontId="3" fillId="9" borderId="12"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9" borderId="13" xfId="0" applyFont="1" applyFill="1" applyBorder="1" applyAlignment="1">
      <alignment horizontal="center" vertical="center" wrapText="1"/>
    </xf>
    <xf numFmtId="169" fontId="0" fillId="12" borderId="18" xfId="0" applyNumberFormat="1" applyFill="1" applyBorder="1" applyAlignment="1">
      <alignment horizontal="center" vertical="center"/>
    </xf>
    <xf numFmtId="169" fontId="0" fillId="12" borderId="19" xfId="0" applyNumberFormat="1" applyFill="1" applyBorder="1" applyAlignment="1">
      <alignment horizontal="center" vertical="center"/>
    </xf>
    <xf numFmtId="169" fontId="0" fillId="0" borderId="0" xfId="0" applyNumberFormat="1" applyFill="1" applyBorder="1" applyAlignment="1">
      <alignment horizontal="center" vertical="center"/>
    </xf>
    <xf numFmtId="0" fontId="3" fillId="9" borderId="14"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14" fillId="2" borderId="1" xfId="2" applyFont="1" applyBorder="1" applyAlignment="1">
      <alignment horizontal="center" vertical="center" wrapText="1"/>
    </xf>
    <xf numFmtId="0" fontId="0" fillId="12" borderId="1" xfId="0" applyFill="1" applyBorder="1" applyAlignment="1">
      <alignment horizontal="center" vertical="center" wrapText="1"/>
    </xf>
    <xf numFmtId="0" fontId="0" fillId="12" borderId="1" xfId="0" applyFont="1" applyFill="1" applyBorder="1" applyAlignment="1">
      <alignment horizontal="center" vertical="center" wrapText="1"/>
    </xf>
    <xf numFmtId="0" fontId="0" fillId="12" borderId="0" xfId="0" applyFill="1" applyAlignment="1">
      <alignment horizontal="center" vertical="center" wrapText="1"/>
    </xf>
    <xf numFmtId="0" fontId="3" fillId="12" borderId="0" xfId="0" applyFont="1" applyFill="1" applyBorder="1" applyAlignment="1">
      <alignment horizontal="center" vertical="center" wrapText="1"/>
    </xf>
    <xf numFmtId="3" fontId="3" fillId="12" borderId="1" xfId="0" applyNumberFormat="1" applyFont="1" applyFill="1" applyBorder="1" applyAlignment="1">
      <alignment horizontal="center" vertical="center" wrapText="1"/>
    </xf>
    <xf numFmtId="3" fontId="3" fillId="12" borderId="3" xfId="0" applyNumberFormat="1" applyFont="1" applyFill="1" applyBorder="1" applyAlignment="1">
      <alignment horizontal="center" vertical="center" wrapText="1"/>
    </xf>
    <xf numFmtId="3" fontId="3" fillId="12" borderId="1" xfId="0" applyNumberFormat="1" applyFont="1" applyFill="1" applyBorder="1" applyAlignment="1">
      <alignment horizont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3" fontId="0" fillId="0" borderId="1" xfId="0" applyNumberFormat="1" applyBorder="1" applyAlignment="1">
      <alignment horizontal="center" vertical="center" wrapText="1"/>
    </xf>
    <xf numFmtId="3" fontId="0" fillId="0" borderId="6" xfId="0" applyNumberFormat="1" applyBorder="1" applyAlignment="1">
      <alignment horizontal="center" wrapText="1"/>
    </xf>
    <xf numFmtId="3" fontId="0" fillId="0" borderId="3" xfId="0" applyNumberFormat="1" applyBorder="1" applyAlignment="1">
      <alignment horizontal="center" vertical="center" wrapText="1"/>
    </xf>
    <xf numFmtId="3" fontId="0" fillId="0" borderId="1" xfId="0" applyNumberFormat="1" applyBorder="1" applyAlignment="1">
      <alignment horizontal="center" wrapText="1"/>
    </xf>
    <xf numFmtId="3" fontId="0" fillId="0" borderId="1" xfId="0" applyNumberFormat="1" applyBorder="1" applyAlignment="1">
      <alignment horizontal="center"/>
    </xf>
    <xf numFmtId="0" fontId="3" fillId="0" borderId="1" xfId="0" applyFont="1" applyBorder="1" applyAlignment="1">
      <alignment horizontal="center" wrapText="1"/>
    </xf>
    <xf numFmtId="0" fontId="3" fillId="9" borderId="1" xfId="0" applyFont="1" applyFill="1" applyBorder="1" applyAlignment="1">
      <alignment horizontal="center"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23" fillId="9" borderId="3" xfId="0" applyFont="1" applyFill="1" applyBorder="1" applyAlignment="1">
      <alignment horizontal="center" vertical="center" wrapText="1"/>
    </xf>
    <xf numFmtId="0" fontId="23" fillId="9" borderId="4" xfId="0" applyFont="1" applyFill="1" applyBorder="1" applyAlignment="1">
      <alignment horizontal="center" vertical="center" wrapText="1"/>
    </xf>
    <xf numFmtId="0" fontId="23" fillId="9" borderId="5" xfId="0" applyFont="1" applyFill="1" applyBorder="1" applyAlignment="1">
      <alignment horizontal="center" vertical="center" wrapText="1"/>
    </xf>
    <xf numFmtId="0" fontId="0" fillId="5" borderId="0" xfId="0" applyFill="1" applyAlignment="1">
      <alignment horizontal="left" vertical="center"/>
    </xf>
    <xf numFmtId="0" fontId="0" fillId="0" borderId="0" xfId="0"/>
    <xf numFmtId="0" fontId="0" fillId="12" borderId="23" xfId="0" applyFill="1" applyBorder="1" applyAlignment="1">
      <alignment horizontal="center" vertical="center" wrapText="1"/>
    </xf>
    <xf numFmtId="0" fontId="0" fillId="12" borderId="22" xfId="0" applyFill="1" applyBorder="1" applyAlignment="1">
      <alignment horizontal="center" vertical="center" wrapText="1"/>
    </xf>
    <xf numFmtId="0" fontId="0" fillId="12" borderId="21" xfId="0" applyFill="1" applyBorder="1" applyAlignment="1">
      <alignment horizontal="center" vertical="center" wrapText="1"/>
    </xf>
    <xf numFmtId="0" fontId="0" fillId="12" borderId="24" xfId="0" applyFill="1" applyBorder="1" applyAlignment="1">
      <alignment horizontal="center" vertical="center" wrapText="1"/>
    </xf>
    <xf numFmtId="0" fontId="0" fillId="12" borderId="10" xfId="0" applyFill="1" applyBorder="1" applyAlignment="1">
      <alignment horizontal="center" vertical="center" wrapText="1"/>
    </xf>
    <xf numFmtId="0" fontId="0" fillId="12" borderId="11" xfId="0" applyFill="1" applyBorder="1" applyAlignment="1">
      <alignment horizontal="center" vertical="center" wrapText="1"/>
    </xf>
    <xf numFmtId="3" fontId="0" fillId="0" borderId="0" xfId="0" applyNumberFormat="1" applyAlignment="1">
      <alignment horizontal="center"/>
    </xf>
    <xf numFmtId="0" fontId="3" fillId="0" borderId="10" xfId="0" applyFont="1" applyBorder="1" applyAlignment="1">
      <alignment horizontal="center"/>
    </xf>
    <xf numFmtId="0" fontId="0" fillId="0" borderId="22" xfId="0" applyBorder="1" applyAlignment="1">
      <alignment horizontal="center"/>
    </xf>
    <xf numFmtId="0" fontId="3" fillId="12" borderId="1" xfId="0" applyFont="1" applyFill="1" applyBorder="1" applyAlignment="1">
      <alignment horizontal="center" vertical="center" wrapText="1"/>
    </xf>
    <xf numFmtId="0" fontId="0" fillId="0" borderId="10" xfId="0" applyBorder="1" applyAlignment="1">
      <alignment horizontal="center"/>
    </xf>
    <xf numFmtId="0" fontId="3" fillId="12" borderId="9"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3" fillId="0" borderId="11" xfId="0" applyFont="1" applyBorder="1" applyAlignment="1">
      <alignment horizontal="center"/>
    </xf>
    <xf numFmtId="0" fontId="20" fillId="12" borderId="0" xfId="0" applyFont="1" applyFill="1" applyAlignment="1">
      <alignment horizontal="center" vertical="center"/>
    </xf>
    <xf numFmtId="0" fontId="20" fillId="12" borderId="0" xfId="0" applyFont="1" applyFill="1" applyAlignment="1">
      <alignment horizontal="center" vertical="center" wrapText="1"/>
    </xf>
    <xf numFmtId="0" fontId="3" fillId="12" borderId="1" xfId="0" applyFont="1" applyFill="1" applyBorder="1" applyAlignment="1">
      <alignment horizontal="left" wrapText="1"/>
    </xf>
    <xf numFmtId="0" fontId="0" fillId="0" borderId="1" xfId="0" applyFont="1" applyFill="1" applyBorder="1" applyAlignment="1">
      <alignment horizontal="center" wrapText="1"/>
    </xf>
    <xf numFmtId="0" fontId="3" fillId="12"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12" fillId="4" borderId="0" xfId="0" applyFont="1" applyFill="1" applyAlignment="1">
      <alignment horizontal="center" vertical="center" wrapText="1"/>
    </xf>
    <xf numFmtId="0" fontId="12" fillId="12" borderId="0" xfId="0" applyFont="1" applyFill="1" applyAlignment="1">
      <alignment horizontal="center" vertical="center" wrapText="1"/>
    </xf>
    <xf numFmtId="0" fontId="5" fillId="8" borderId="3" xfId="0" applyFont="1" applyFill="1" applyBorder="1" applyAlignment="1">
      <alignment horizontal="left"/>
    </xf>
    <xf numFmtId="0" fontId="5" fillId="8" borderId="4" xfId="0" applyFont="1" applyFill="1" applyBorder="1" applyAlignment="1">
      <alignment horizontal="left"/>
    </xf>
    <xf numFmtId="0" fontId="5" fillId="8" borderId="5"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9" borderId="1"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3" fillId="12" borderId="3" xfId="0" applyFont="1" applyFill="1" applyBorder="1" applyAlignment="1">
      <alignment horizontal="left"/>
    </xf>
    <xf numFmtId="0" fontId="3" fillId="12" borderId="4" xfId="0" applyFont="1" applyFill="1" applyBorder="1" applyAlignment="1">
      <alignment horizontal="left"/>
    </xf>
    <xf numFmtId="0" fontId="3" fillId="12" borderId="5" xfId="0" applyFont="1" applyFill="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3" fillId="11" borderId="3" xfId="0" applyFont="1" applyFill="1" applyBorder="1" applyAlignment="1">
      <alignment horizontal="left"/>
    </xf>
    <xf numFmtId="0" fontId="3" fillId="11" borderId="4" xfId="0" applyFont="1" applyFill="1" applyBorder="1" applyAlignment="1">
      <alignment horizontal="left"/>
    </xf>
    <xf numFmtId="0" fontId="3" fillId="11" borderId="5" xfId="0" applyFont="1" applyFill="1" applyBorder="1" applyAlignment="1">
      <alignment horizontal="left"/>
    </xf>
    <xf numFmtId="0" fontId="3" fillId="12" borderId="1" xfId="0" applyFont="1" applyFill="1" applyBorder="1" applyAlignment="1">
      <alignment horizontal="left"/>
    </xf>
    <xf numFmtId="0" fontId="3" fillId="12" borderId="3" xfId="0" applyFont="1" applyFill="1" applyBorder="1" applyAlignment="1">
      <alignment horizontal="center"/>
    </xf>
    <xf numFmtId="0" fontId="3" fillId="12" borderId="4" xfId="0" applyFont="1" applyFill="1" applyBorder="1" applyAlignment="1">
      <alignment horizontal="center"/>
    </xf>
    <xf numFmtId="0" fontId="3" fillId="12" borderId="5" xfId="0" applyFont="1" applyFill="1" applyBorder="1" applyAlignment="1">
      <alignment horizontal="center"/>
    </xf>
    <xf numFmtId="0" fontId="3" fillId="9" borderId="1" xfId="0" applyFont="1" applyFill="1" applyBorder="1" applyAlignment="1">
      <alignment horizontal="left"/>
    </xf>
    <xf numFmtId="0" fontId="11" fillId="12" borderId="0" xfId="0" applyFont="1" applyFill="1" applyBorder="1" applyAlignment="1">
      <alignment horizontal="center" vertical="center" wrapText="1"/>
    </xf>
    <xf numFmtId="0" fontId="3" fillId="9" borderId="3" xfId="0" applyFont="1" applyFill="1" applyBorder="1" applyAlignment="1">
      <alignment horizontal="left"/>
    </xf>
    <xf numFmtId="0" fontId="3" fillId="9" borderId="4" xfId="0" applyFont="1" applyFill="1" applyBorder="1" applyAlignment="1">
      <alignment horizontal="left"/>
    </xf>
    <xf numFmtId="0" fontId="3" fillId="9" borderId="5" xfId="0" applyFont="1" applyFill="1" applyBorder="1" applyAlignment="1">
      <alignment horizontal="left"/>
    </xf>
    <xf numFmtId="0" fontId="3" fillId="12" borderId="3" xfId="0" applyFont="1" applyFill="1" applyBorder="1" applyAlignment="1">
      <alignment horizontal="left" vertical="center" wrapText="1"/>
    </xf>
    <xf numFmtId="0" fontId="3" fillId="12" borderId="5" xfId="0" applyFont="1" applyFill="1" applyBorder="1" applyAlignment="1">
      <alignment horizontal="left" vertical="center" wrapText="1"/>
    </xf>
    <xf numFmtId="0" fontId="27" fillId="12" borderId="3" xfId="0" applyFont="1" applyFill="1" applyBorder="1" applyAlignment="1">
      <alignment horizontal="center" vertical="center" wrapText="1"/>
    </xf>
    <xf numFmtId="0" fontId="27" fillId="12" borderId="5" xfId="0" applyFont="1" applyFill="1" applyBorder="1" applyAlignment="1">
      <alignment horizontal="center" vertical="center" wrapText="1"/>
    </xf>
    <xf numFmtId="0" fontId="3" fillId="9" borderId="3" xfId="0" applyFont="1" applyFill="1" applyBorder="1" applyAlignment="1">
      <alignment horizontal="center" wrapText="1"/>
    </xf>
    <xf numFmtId="0" fontId="3" fillId="9" borderId="5" xfId="0" applyFont="1" applyFill="1" applyBorder="1" applyAlignment="1">
      <alignment horizontal="center" wrapText="1"/>
    </xf>
    <xf numFmtId="0" fontId="0" fillId="12" borderId="3"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28" fillId="12" borderId="3" xfId="0" applyFont="1" applyFill="1" applyBorder="1" applyAlignment="1">
      <alignment horizontal="center" vertical="center" wrapText="1"/>
    </xf>
    <xf numFmtId="0" fontId="28" fillId="12" borderId="5" xfId="0" applyFont="1" applyFill="1" applyBorder="1" applyAlignment="1">
      <alignment horizontal="center" vertical="center" wrapText="1"/>
    </xf>
  </cellXfs>
  <cellStyles count="4">
    <cellStyle name="Hipervínculo" xfId="3" builtinId="8"/>
    <cellStyle name="Neutral" xfId="2" builtinId="2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INGRESOS </a:t>
            </a:r>
          </a:p>
          <a:p>
            <a:pPr>
              <a:defRPr/>
            </a:pPr>
            <a:r>
              <a:rPr lang="en-US"/>
              <a:t>VAN 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PE"/>
        </a:p>
      </c:txPr>
    </c:title>
    <c:autoTitleDeleted val="0"/>
    <c:plotArea>
      <c:layout/>
      <c:scatterChart>
        <c:scatterStyle val="lineMarker"/>
        <c:varyColors val="0"/>
        <c:ser>
          <c:idx val="0"/>
          <c:order val="0"/>
          <c:tx>
            <c:strRef>
              <c:f>Sensibilidad!$B$8</c:f>
              <c:strCache>
                <c:ptCount val="1"/>
                <c:pt idx="0">
                  <c:v>VAN e</c:v>
                </c:pt>
              </c:strCache>
            </c:strRef>
          </c:tx>
          <c:spPr>
            <a:ln w="22225" cap="rnd">
              <a:solidFill>
                <a:schemeClr val="accent1"/>
              </a:solid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xVal>
            <c:numRef>
              <c:f>Sensibilidad!$C$7:$J$7</c:f>
              <c:numCache>
                <c:formatCode>0%</c:formatCode>
                <c:ptCount val="8"/>
                <c:pt idx="0">
                  <c:v>-0.03</c:v>
                </c:pt>
                <c:pt idx="1">
                  <c:v>-0.06</c:v>
                </c:pt>
                <c:pt idx="2">
                  <c:v>-0.09</c:v>
                </c:pt>
                <c:pt idx="3">
                  <c:v>-0.15</c:v>
                </c:pt>
                <c:pt idx="4">
                  <c:v>-0.2</c:v>
                </c:pt>
                <c:pt idx="5">
                  <c:v>0.03</c:v>
                </c:pt>
                <c:pt idx="6">
                  <c:v>0.06</c:v>
                </c:pt>
                <c:pt idx="7">
                  <c:v>0.09</c:v>
                </c:pt>
              </c:numCache>
            </c:numRef>
          </c:xVal>
          <c:yVal>
            <c:numRef>
              <c:f>Sensibilidad!$C$8:$J$8</c:f>
              <c:numCache>
                <c:formatCode>[$$-409]#,##0</c:formatCode>
                <c:ptCount val="8"/>
                <c:pt idx="0">
                  <c:v>277445169.27130896</c:v>
                </c:pt>
                <c:pt idx="1">
                  <c:v>267333543.40429062</c:v>
                </c:pt>
                <c:pt idx="2">
                  <c:v>257221917.53727239</c:v>
                </c:pt>
                <c:pt idx="3" formatCode="[$$-540A]#,##0">
                  <c:v>236998665.80323577</c:v>
                </c:pt>
                <c:pt idx="4" formatCode="[$$-540A]#,##0">
                  <c:v>220145956.024872</c:v>
                </c:pt>
                <c:pt idx="5">
                  <c:v>297668421.00534546</c:v>
                </c:pt>
                <c:pt idx="6">
                  <c:v>307780046.87236381</c:v>
                </c:pt>
                <c:pt idx="7">
                  <c:v>317891672.73938203</c:v>
                </c:pt>
              </c:numCache>
            </c:numRef>
          </c:yVal>
          <c:smooth val="0"/>
        </c:ser>
        <c:dLbls>
          <c:showLegendKey val="0"/>
          <c:showVal val="0"/>
          <c:showCatName val="0"/>
          <c:showSerName val="0"/>
          <c:showPercent val="0"/>
          <c:showBubbleSize val="0"/>
        </c:dLbls>
        <c:axId val="5410128"/>
        <c:axId val="5411248"/>
      </c:scatterChart>
      <c:valAx>
        <c:axId val="54101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5411248"/>
        <c:crosses val="autoZero"/>
        <c:crossBetween val="midCat"/>
      </c:valAx>
      <c:valAx>
        <c:axId val="54112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409]#,##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54101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PE"/>
        </a:p>
      </c:txPr>
    </c:title>
    <c:autoTitleDeleted val="0"/>
    <c:plotArea>
      <c:layout/>
      <c:scatterChart>
        <c:scatterStyle val="lineMarker"/>
        <c:varyColors val="0"/>
        <c:ser>
          <c:idx val="0"/>
          <c:order val="0"/>
          <c:tx>
            <c:strRef>
              <c:f>'Balance del proyecto'!$C$79</c:f>
              <c:strCache>
                <c:ptCount val="1"/>
                <c:pt idx="0">
                  <c:v>EBITDA / Ingresos</c:v>
                </c:pt>
              </c:strCache>
            </c:strRef>
          </c:tx>
          <c:spPr>
            <a:ln w="22225" cap="rnd">
              <a:solidFill>
                <a:schemeClr val="accent1"/>
              </a:solid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xVal>
            <c:strRef>
              <c:f>'Balance del proyecto'!$D$78:$AA$78</c:f>
              <c:strCache>
                <c:ptCount val="24"/>
                <c:pt idx="3">
                  <c:v>AÑO 2015</c:v>
                </c:pt>
                <c:pt idx="4">
                  <c:v>AÑO 2016</c:v>
                </c:pt>
                <c:pt idx="5">
                  <c:v>AÑO 2017</c:v>
                </c:pt>
                <c:pt idx="6">
                  <c:v>AÑO 2018</c:v>
                </c:pt>
                <c:pt idx="7">
                  <c:v>AÑO 2019</c:v>
                </c:pt>
                <c:pt idx="8">
                  <c:v>AÑO 2020</c:v>
                </c:pt>
                <c:pt idx="9">
                  <c:v>AÑO 2021</c:v>
                </c:pt>
                <c:pt idx="10">
                  <c:v>AÑO 2022</c:v>
                </c:pt>
                <c:pt idx="11">
                  <c:v>AÑO 2023</c:v>
                </c:pt>
                <c:pt idx="12">
                  <c:v>AÑO 2024</c:v>
                </c:pt>
                <c:pt idx="13">
                  <c:v>AÑO 2025</c:v>
                </c:pt>
                <c:pt idx="14">
                  <c:v>AÑO 2026</c:v>
                </c:pt>
                <c:pt idx="15">
                  <c:v>AÑO 2027</c:v>
                </c:pt>
                <c:pt idx="16">
                  <c:v>AÑO 2028</c:v>
                </c:pt>
                <c:pt idx="17">
                  <c:v>AÑO 2029</c:v>
                </c:pt>
                <c:pt idx="18">
                  <c:v>AÑO 2030</c:v>
                </c:pt>
                <c:pt idx="19">
                  <c:v>AÑO 2031</c:v>
                </c:pt>
                <c:pt idx="20">
                  <c:v>AÑO 2032</c:v>
                </c:pt>
                <c:pt idx="21">
                  <c:v>AÑO 2033</c:v>
                </c:pt>
                <c:pt idx="22">
                  <c:v>AÑO 2034</c:v>
                </c:pt>
                <c:pt idx="23">
                  <c:v>AÑO 2035</c:v>
                </c:pt>
              </c:strCache>
            </c:strRef>
          </c:xVal>
          <c:yVal>
            <c:numRef>
              <c:f>'Balance del proyecto'!$D$79:$AA$79</c:f>
              <c:numCache>
                <c:formatCode>General</c:formatCode>
                <c:ptCount val="24"/>
                <c:pt idx="4" formatCode="0.0000">
                  <c:v>0.76850483301589068</c:v>
                </c:pt>
                <c:pt idx="5" formatCode="0.0000">
                  <c:v>0.77956770979295342</c:v>
                </c:pt>
                <c:pt idx="6" formatCode="0.0000">
                  <c:v>0.79550751294436761</c:v>
                </c:pt>
                <c:pt idx="7" formatCode="0.0000">
                  <c:v>0.8152722180516484</c:v>
                </c:pt>
                <c:pt idx="8" formatCode="0.0000">
                  <c:v>0.83761668855958515</c:v>
                </c:pt>
                <c:pt idx="9" formatCode="0.0000">
                  <c:v>0.86121022191741303</c:v>
                </c:pt>
                <c:pt idx="10" formatCode="0.0000">
                  <c:v>0.88475500209459335</c:v>
                </c:pt>
                <c:pt idx="11" formatCode="0.0000">
                  <c:v>0.90710266671662809</c:v>
                </c:pt>
                <c:pt idx="12" formatCode="0.0000">
                  <c:v>0.92735150192849858</c:v>
                </c:pt>
                <c:pt idx="13" formatCode="0.0000">
                  <c:v>0.94490706463325036</c:v>
                </c:pt>
                <c:pt idx="14" formatCode="0.0000">
                  <c:v>0.95949581686187191</c:v>
                </c:pt>
                <c:pt idx="15" formatCode="0.0000">
                  <c:v>0.97113264031085234</c:v>
                </c:pt>
                <c:pt idx="16" formatCode="0.0000">
                  <c:v>0.98005423527145352</c:v>
                </c:pt>
                <c:pt idx="17" formatCode="0.0000">
                  <c:v>0.98663685703517601</c:v>
                </c:pt>
                <c:pt idx="18" formatCode="0.0000">
                  <c:v>0.99131674136437753</c:v>
                </c:pt>
                <c:pt idx="19" formatCode="0.0000">
                  <c:v>0.99452629481951837</c:v>
                </c:pt>
                <c:pt idx="20" formatCode="0.0000">
                  <c:v>0.99447525784369195</c:v>
                </c:pt>
                <c:pt idx="21" formatCode="0.0000">
                  <c:v>0.99442270524179788</c:v>
                </c:pt>
                <c:pt idx="22" formatCode="0.0000">
                  <c:v>0.99436859248249754</c:v>
                </c:pt>
                <c:pt idx="23" formatCode="0.0000">
                  <c:v>0.99431287375592003</c:v>
                </c:pt>
              </c:numCache>
            </c:numRef>
          </c:yVal>
          <c:smooth val="0"/>
        </c:ser>
        <c:dLbls>
          <c:showLegendKey val="0"/>
          <c:showVal val="0"/>
          <c:showCatName val="0"/>
          <c:showSerName val="0"/>
          <c:showPercent val="0"/>
          <c:showBubbleSize val="0"/>
        </c:dLbls>
        <c:axId val="200363792"/>
        <c:axId val="200364352"/>
      </c:scatterChart>
      <c:valAx>
        <c:axId val="200363792"/>
        <c:scaling>
          <c:orientation val="minMax"/>
        </c:scaling>
        <c:delete val="0"/>
        <c:axPos val="b"/>
        <c:majorGridlines>
          <c:spPr>
            <a:ln w="9525" cap="flat" cmpd="sng" algn="ctr">
              <a:solidFill>
                <a:schemeClr val="dk1">
                  <a:lumMod val="65000"/>
                  <a:lumOff val="35000"/>
                  <a:alpha val="75000"/>
                </a:schemeClr>
              </a:solidFill>
              <a:round/>
            </a:ln>
            <a:effectLst/>
          </c:spPr>
        </c:majorGridlines>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200364352"/>
        <c:crosses val="autoZero"/>
        <c:crossBetween val="midCat"/>
      </c:valAx>
      <c:valAx>
        <c:axId val="200364352"/>
        <c:scaling>
          <c:orientation val="minMax"/>
          <c:min val="0.70000000000000007"/>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2003637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PE"/>
        </a:p>
      </c:txPr>
    </c:title>
    <c:autoTitleDeleted val="0"/>
    <c:plotArea>
      <c:layout/>
      <c:scatterChart>
        <c:scatterStyle val="lineMarker"/>
        <c:varyColors val="0"/>
        <c:ser>
          <c:idx val="0"/>
          <c:order val="0"/>
          <c:tx>
            <c:strRef>
              <c:f>'Balance del proyecto'!$C$80</c:f>
              <c:strCache>
                <c:ptCount val="1"/>
                <c:pt idx="0">
                  <c:v>EBIT / Ingresos</c:v>
                </c:pt>
              </c:strCache>
            </c:strRef>
          </c:tx>
          <c:spPr>
            <a:ln w="22225" cap="rnd">
              <a:solidFill>
                <a:schemeClr val="accent1"/>
              </a:solid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xVal>
            <c:strRef>
              <c:f>'Balance del proyecto'!$D$78:$AA$78</c:f>
              <c:strCache>
                <c:ptCount val="24"/>
                <c:pt idx="3">
                  <c:v>AÑO 2015</c:v>
                </c:pt>
                <c:pt idx="4">
                  <c:v>AÑO 2016</c:v>
                </c:pt>
                <c:pt idx="5">
                  <c:v>AÑO 2017</c:v>
                </c:pt>
                <c:pt idx="6">
                  <c:v>AÑO 2018</c:v>
                </c:pt>
                <c:pt idx="7">
                  <c:v>AÑO 2019</c:v>
                </c:pt>
                <c:pt idx="8">
                  <c:v>AÑO 2020</c:v>
                </c:pt>
                <c:pt idx="9">
                  <c:v>AÑO 2021</c:v>
                </c:pt>
                <c:pt idx="10">
                  <c:v>AÑO 2022</c:v>
                </c:pt>
                <c:pt idx="11">
                  <c:v>AÑO 2023</c:v>
                </c:pt>
                <c:pt idx="12">
                  <c:v>AÑO 2024</c:v>
                </c:pt>
                <c:pt idx="13">
                  <c:v>AÑO 2025</c:v>
                </c:pt>
                <c:pt idx="14">
                  <c:v>AÑO 2026</c:v>
                </c:pt>
                <c:pt idx="15">
                  <c:v>AÑO 2027</c:v>
                </c:pt>
                <c:pt idx="16">
                  <c:v>AÑO 2028</c:v>
                </c:pt>
                <c:pt idx="17">
                  <c:v>AÑO 2029</c:v>
                </c:pt>
                <c:pt idx="18">
                  <c:v>AÑO 2030</c:v>
                </c:pt>
                <c:pt idx="19">
                  <c:v>AÑO 2031</c:v>
                </c:pt>
                <c:pt idx="20">
                  <c:v>AÑO 2032</c:v>
                </c:pt>
                <c:pt idx="21">
                  <c:v>AÑO 2033</c:v>
                </c:pt>
                <c:pt idx="22">
                  <c:v>AÑO 2034</c:v>
                </c:pt>
                <c:pt idx="23">
                  <c:v>AÑO 2035</c:v>
                </c:pt>
              </c:strCache>
            </c:strRef>
          </c:xVal>
          <c:yVal>
            <c:numRef>
              <c:f>'Balance del proyecto'!$D$80:$AA$80</c:f>
              <c:numCache>
                <c:formatCode>General</c:formatCode>
                <c:ptCount val="24"/>
                <c:pt idx="4" formatCode="0.0000">
                  <c:v>0.33243959654091043</c:v>
                </c:pt>
                <c:pt idx="5" formatCode="0.0000">
                  <c:v>0.4142174098388301</c:v>
                </c:pt>
                <c:pt idx="6" formatCode="0.0000">
                  <c:v>0.51377319046712155</c:v>
                </c:pt>
                <c:pt idx="7" formatCode="0.0000">
                  <c:v>0.62472331126181646</c:v>
                </c:pt>
                <c:pt idx="8" formatCode="0.0000">
                  <c:v>0.74051211538591943</c:v>
                </c:pt>
                <c:pt idx="9" formatCode="0.0000">
                  <c:v>0.85495092736098355</c:v>
                </c:pt>
                <c:pt idx="10" formatCode="0.0000">
                  <c:v>0.96270777746710889</c:v>
                </c:pt>
                <c:pt idx="11" formatCode="0.0000">
                  <c:v>1.0596940546581686</c:v>
                </c:pt>
                <c:pt idx="12" formatCode="0.0000">
                  <c:v>1.14329169425196</c:v>
                </c:pt>
                <c:pt idx="13" formatCode="0.0000">
                  <c:v>1.2123835887678815</c:v>
                </c:pt>
                <c:pt idx="14" formatCode="0.0000">
                  <c:v>1.3126135506590364</c:v>
                </c:pt>
                <c:pt idx="15" formatCode="0.0000">
                  <c:v>1.3379044848135757</c:v>
                </c:pt>
                <c:pt idx="16" formatCode="0.0000">
                  <c:v>1.3572247268975148</c:v>
                </c:pt>
                <c:pt idx="17" formatCode="0.0000">
                  <c:v>1.3714293760840401</c:v>
                </c:pt>
                <c:pt idx="18" formatCode="0.0000">
                  <c:v>1.3814926997339116</c:v>
                </c:pt>
                <c:pt idx="19" formatCode="0.0000">
                  <c:v>1.3883702246278165</c:v>
                </c:pt>
                <c:pt idx="20" formatCode="0.0000">
                  <c:v>1.3882992939862979</c:v>
                </c:pt>
                <c:pt idx="21" formatCode="0.0000">
                  <c:v>1.3882262580007205</c:v>
                </c:pt>
                <c:pt idx="22" formatCode="0.0000">
                  <c:v>1.388151054846976</c:v>
                </c:pt>
                <c:pt idx="23" formatCode="0.0000">
                  <c:v>1.4049061845309589</c:v>
                </c:pt>
              </c:numCache>
            </c:numRef>
          </c:yVal>
          <c:smooth val="0"/>
        </c:ser>
        <c:dLbls>
          <c:showLegendKey val="0"/>
          <c:showVal val="0"/>
          <c:showCatName val="0"/>
          <c:showSerName val="0"/>
          <c:showPercent val="0"/>
          <c:showBubbleSize val="0"/>
        </c:dLbls>
        <c:axId val="200366592"/>
        <c:axId val="200367152"/>
      </c:scatterChart>
      <c:valAx>
        <c:axId val="200366592"/>
        <c:scaling>
          <c:orientation val="minMax"/>
        </c:scaling>
        <c:delete val="0"/>
        <c:axPos val="b"/>
        <c:majorGridlines>
          <c:spPr>
            <a:ln w="9525" cap="flat" cmpd="sng" algn="ctr">
              <a:solidFill>
                <a:schemeClr val="dk1">
                  <a:lumMod val="65000"/>
                  <a:lumOff val="35000"/>
                  <a:alpha val="75000"/>
                </a:schemeClr>
              </a:solidFill>
              <a:round/>
            </a:ln>
            <a:effectLst/>
          </c:spPr>
        </c:majorGridlines>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200367152"/>
        <c:crosses val="autoZero"/>
        <c:crossBetween val="midCat"/>
      </c:valAx>
      <c:valAx>
        <c:axId val="2003671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2003665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PE"/>
        </a:p>
      </c:txPr>
    </c:title>
    <c:autoTitleDeleted val="0"/>
    <c:plotArea>
      <c:layout/>
      <c:scatterChart>
        <c:scatterStyle val="lineMarker"/>
        <c:varyColors val="0"/>
        <c:ser>
          <c:idx val="0"/>
          <c:order val="0"/>
          <c:tx>
            <c:strRef>
              <c:f>'Balance del proyecto'!$C$81</c:f>
              <c:strCache>
                <c:ptCount val="1"/>
                <c:pt idx="0">
                  <c:v>Beneficio neto / Ingresos</c:v>
                </c:pt>
              </c:strCache>
            </c:strRef>
          </c:tx>
          <c:spPr>
            <a:ln w="22225" cap="rnd">
              <a:solidFill>
                <a:schemeClr val="accent1"/>
              </a:solid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xVal>
            <c:strRef>
              <c:f>'Balance del proyecto'!$D$78:$AA$78</c:f>
              <c:strCache>
                <c:ptCount val="24"/>
                <c:pt idx="3">
                  <c:v>AÑO 2015</c:v>
                </c:pt>
                <c:pt idx="4">
                  <c:v>AÑO 2016</c:v>
                </c:pt>
                <c:pt idx="5">
                  <c:v>AÑO 2017</c:v>
                </c:pt>
                <c:pt idx="6">
                  <c:v>AÑO 2018</c:v>
                </c:pt>
                <c:pt idx="7">
                  <c:v>AÑO 2019</c:v>
                </c:pt>
                <c:pt idx="8">
                  <c:v>AÑO 2020</c:v>
                </c:pt>
                <c:pt idx="9">
                  <c:v>AÑO 2021</c:v>
                </c:pt>
                <c:pt idx="10">
                  <c:v>AÑO 2022</c:v>
                </c:pt>
                <c:pt idx="11">
                  <c:v>AÑO 2023</c:v>
                </c:pt>
                <c:pt idx="12">
                  <c:v>AÑO 2024</c:v>
                </c:pt>
                <c:pt idx="13">
                  <c:v>AÑO 2025</c:v>
                </c:pt>
                <c:pt idx="14">
                  <c:v>AÑO 2026</c:v>
                </c:pt>
                <c:pt idx="15">
                  <c:v>AÑO 2027</c:v>
                </c:pt>
                <c:pt idx="16">
                  <c:v>AÑO 2028</c:v>
                </c:pt>
                <c:pt idx="17">
                  <c:v>AÑO 2029</c:v>
                </c:pt>
                <c:pt idx="18">
                  <c:v>AÑO 2030</c:v>
                </c:pt>
                <c:pt idx="19">
                  <c:v>AÑO 2031</c:v>
                </c:pt>
                <c:pt idx="20">
                  <c:v>AÑO 2032</c:v>
                </c:pt>
                <c:pt idx="21">
                  <c:v>AÑO 2033</c:v>
                </c:pt>
                <c:pt idx="22">
                  <c:v>AÑO 2034</c:v>
                </c:pt>
                <c:pt idx="23">
                  <c:v>AÑO 2035</c:v>
                </c:pt>
              </c:strCache>
            </c:strRef>
          </c:xVal>
          <c:yVal>
            <c:numRef>
              <c:f>'Balance del proyecto'!$D$81:$AA$81</c:f>
              <c:numCache>
                <c:formatCode>General</c:formatCode>
                <c:ptCount val="24"/>
                <c:pt idx="4" formatCode="0.0000">
                  <c:v>0.223612212194226</c:v>
                </c:pt>
                <c:pt idx="5" formatCode="0.0000">
                  <c:v>0.26138701506528494</c:v>
                </c:pt>
                <c:pt idx="6" formatCode="0.0000">
                  <c:v>0.30688994824569144</c:v>
                </c:pt>
                <c:pt idx="7" formatCode="0.0000">
                  <c:v>0.3572109594296129</c:v>
                </c:pt>
                <c:pt idx="8" formatCode="0.0000">
                  <c:v>0.40939387451689452</c:v>
                </c:pt>
                <c:pt idx="9" formatCode="0.0000">
                  <c:v>0.46067815848786636</c:v>
                </c:pt>
                <c:pt idx="10" formatCode="0.0000">
                  <c:v>0.50871454278426431</c:v>
                </c:pt>
                <c:pt idx="11" formatCode="0.0000">
                  <c:v>0.55173084189231159</c:v>
                </c:pt>
                <c:pt idx="12" formatCode="0.0000">
                  <c:v>0.58862389007141958</c:v>
                </c:pt>
                <c:pt idx="13" formatCode="0.0000">
                  <c:v>0.61896273576632344</c:v>
                </c:pt>
                <c:pt idx="14" formatCode="0.0000">
                  <c:v>0.64290591310733436</c:v>
                </c:pt>
                <c:pt idx="15" formatCode="0.0000">
                  <c:v>0.65948218652332791</c:v>
                </c:pt>
                <c:pt idx="16" formatCode="0.0000">
                  <c:v>0.67212556188524086</c:v>
                </c:pt>
                <c:pt idx="17" formatCode="0.0000">
                  <c:v>0.68140700395952314</c:v>
                </c:pt>
                <c:pt idx="18" formatCode="0.0000">
                  <c:v>0.68797243453050716</c:v>
                </c:pt>
                <c:pt idx="19" formatCode="0.0000">
                  <c:v>0.6924525610241562</c:v>
                </c:pt>
                <c:pt idx="20" formatCode="0.0000">
                  <c:v>0.69241732332349193</c:v>
                </c:pt>
                <c:pt idx="21" formatCode="0.0000">
                  <c:v>0.69238104017193935</c:v>
                </c:pt>
                <c:pt idx="22" formatCode="0.0000">
                  <c:v>0.69234368088447118</c:v>
                </c:pt>
                <c:pt idx="23" formatCode="0.0000">
                  <c:v>0.69230521389610922</c:v>
                </c:pt>
              </c:numCache>
            </c:numRef>
          </c:yVal>
          <c:smooth val="0"/>
        </c:ser>
        <c:dLbls>
          <c:showLegendKey val="0"/>
          <c:showVal val="0"/>
          <c:showCatName val="0"/>
          <c:showSerName val="0"/>
          <c:showPercent val="0"/>
          <c:showBubbleSize val="0"/>
        </c:dLbls>
        <c:axId val="200369392"/>
        <c:axId val="200369952"/>
      </c:scatterChart>
      <c:valAx>
        <c:axId val="200369392"/>
        <c:scaling>
          <c:orientation val="minMax"/>
        </c:scaling>
        <c:delete val="0"/>
        <c:axPos val="b"/>
        <c:majorGridlines>
          <c:spPr>
            <a:ln w="9525" cap="flat" cmpd="sng" algn="ctr">
              <a:solidFill>
                <a:schemeClr val="dk1">
                  <a:lumMod val="65000"/>
                  <a:lumOff val="35000"/>
                  <a:alpha val="75000"/>
                </a:schemeClr>
              </a:solidFill>
              <a:round/>
            </a:ln>
            <a:effectLst/>
          </c:spPr>
        </c:majorGridlines>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200369952"/>
        <c:crosses val="autoZero"/>
        <c:crossBetween val="midCat"/>
      </c:valAx>
      <c:valAx>
        <c:axId val="2003699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2003693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PE"/>
        </a:p>
      </c:txPr>
    </c:title>
    <c:autoTitleDeleted val="0"/>
    <c:plotArea>
      <c:layout/>
      <c:scatterChart>
        <c:scatterStyle val="lineMarker"/>
        <c:varyColors val="0"/>
        <c:ser>
          <c:idx val="0"/>
          <c:order val="0"/>
          <c:tx>
            <c:strRef>
              <c:f>'Balance del proyecto'!$B$88:$F$88</c:f>
              <c:strCache>
                <c:ptCount val="5"/>
                <c:pt idx="0">
                  <c:v>RCSD (Ratio de cobertura de servicio a la deuda)</c:v>
                </c:pt>
              </c:strCache>
            </c:strRef>
          </c:tx>
          <c:spPr>
            <a:ln w="22225" cap="rnd">
              <a:solidFill>
                <a:schemeClr val="accent1"/>
              </a:solid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xVal>
            <c:strRef>
              <c:f>'Balance del proyecto'!$G$87:$AA$87</c:f>
              <c:strCache>
                <c:ptCount val="21"/>
                <c:pt idx="0">
                  <c:v>AÑO 2015</c:v>
                </c:pt>
                <c:pt idx="1">
                  <c:v>AÑO 2016</c:v>
                </c:pt>
                <c:pt idx="2">
                  <c:v>AÑO 2017</c:v>
                </c:pt>
                <c:pt idx="3">
                  <c:v>AÑO 2018</c:v>
                </c:pt>
                <c:pt idx="4">
                  <c:v>AÑO 2019</c:v>
                </c:pt>
                <c:pt idx="5">
                  <c:v>AÑO 2020</c:v>
                </c:pt>
                <c:pt idx="6">
                  <c:v>AÑO 2021</c:v>
                </c:pt>
                <c:pt idx="7">
                  <c:v>AÑO 2022</c:v>
                </c:pt>
                <c:pt idx="8">
                  <c:v>AÑO 2023</c:v>
                </c:pt>
                <c:pt idx="9">
                  <c:v>AÑO 2024</c:v>
                </c:pt>
                <c:pt idx="10">
                  <c:v>AÑO 2025</c:v>
                </c:pt>
                <c:pt idx="11">
                  <c:v>AÑO 2026</c:v>
                </c:pt>
                <c:pt idx="12">
                  <c:v>AÑO 2027</c:v>
                </c:pt>
                <c:pt idx="13">
                  <c:v>AÑO 2028</c:v>
                </c:pt>
                <c:pt idx="14">
                  <c:v>AÑO 2029</c:v>
                </c:pt>
                <c:pt idx="15">
                  <c:v>AÑO 2030</c:v>
                </c:pt>
                <c:pt idx="16">
                  <c:v>AÑO 2031</c:v>
                </c:pt>
                <c:pt idx="17">
                  <c:v>AÑO 2032</c:v>
                </c:pt>
                <c:pt idx="18">
                  <c:v>AÑO 2033</c:v>
                </c:pt>
                <c:pt idx="19">
                  <c:v>AÑO 2034</c:v>
                </c:pt>
                <c:pt idx="20">
                  <c:v>AÑO 2035</c:v>
                </c:pt>
              </c:strCache>
            </c:strRef>
          </c:xVal>
          <c:yVal>
            <c:numRef>
              <c:f>'Balance del proyecto'!$G$88:$AA$88</c:f>
              <c:numCache>
                <c:formatCode>0.0000</c:formatCode>
                <c:ptCount val="21"/>
                <c:pt idx="1">
                  <c:v>3.9212061058691576</c:v>
                </c:pt>
                <c:pt idx="2">
                  <c:v>4.6731806856833815</c:v>
                </c:pt>
                <c:pt idx="3">
                  <c:v>5.8234819008644561</c:v>
                </c:pt>
                <c:pt idx="4">
                  <c:v>7.6046014153234873</c:v>
                </c:pt>
                <c:pt idx="5">
                  <c:v>10.44539898868276</c:v>
                </c:pt>
                <c:pt idx="6">
                  <c:v>15.191246009532634</c:v>
                </c:pt>
                <c:pt idx="7">
                  <c:v>23.673589853407787</c:v>
                </c:pt>
                <c:pt idx="8">
                  <c:v>40.461289689727643</c:v>
                </c:pt>
                <c:pt idx="9">
                  <c:v>79.975012189300372</c:v>
                </c:pt>
                <c:pt idx="10">
                  <c:v>216.66748549515893</c:v>
                </c:pt>
                <c:pt idx="11">
                  <c:v>0</c:v>
                </c:pt>
                <c:pt idx="12">
                  <c:v>0</c:v>
                </c:pt>
              </c:numCache>
            </c:numRef>
          </c:yVal>
          <c:smooth val="0"/>
        </c:ser>
        <c:dLbls>
          <c:showLegendKey val="0"/>
          <c:showVal val="0"/>
          <c:showCatName val="0"/>
          <c:showSerName val="0"/>
          <c:showPercent val="0"/>
          <c:showBubbleSize val="0"/>
        </c:dLbls>
        <c:axId val="200372192"/>
        <c:axId val="200372752"/>
      </c:scatterChart>
      <c:valAx>
        <c:axId val="200372192"/>
        <c:scaling>
          <c:orientation val="minMax"/>
        </c:scaling>
        <c:delete val="0"/>
        <c:axPos val="b"/>
        <c:majorGridlines>
          <c:spPr>
            <a:ln w="9525" cap="flat" cmpd="sng" algn="ctr">
              <a:solidFill>
                <a:schemeClr val="dk1">
                  <a:lumMod val="65000"/>
                  <a:lumOff val="35000"/>
                  <a:alpha val="75000"/>
                </a:schemeClr>
              </a:solidFill>
              <a:round/>
            </a:ln>
            <a:effectLst/>
          </c:spPr>
        </c:majorGridlines>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200372752"/>
        <c:crosses val="autoZero"/>
        <c:crossBetween val="midCat"/>
      </c:valAx>
      <c:valAx>
        <c:axId val="2003727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2003721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EGRESOS</a:t>
            </a:r>
          </a:p>
          <a:p>
            <a:pPr>
              <a:defRPr/>
            </a:pPr>
            <a:r>
              <a:rPr lang="en-US"/>
              <a:t>VAN e </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PE"/>
        </a:p>
      </c:txPr>
    </c:title>
    <c:autoTitleDeleted val="0"/>
    <c:plotArea>
      <c:layout/>
      <c:scatterChart>
        <c:scatterStyle val="lineMarker"/>
        <c:varyColors val="0"/>
        <c:ser>
          <c:idx val="0"/>
          <c:order val="0"/>
          <c:tx>
            <c:strRef>
              <c:f>Sensibilidad!$B$19</c:f>
              <c:strCache>
                <c:ptCount val="1"/>
                <c:pt idx="0">
                  <c:v>VAN e</c:v>
                </c:pt>
              </c:strCache>
            </c:strRef>
          </c:tx>
          <c:spPr>
            <a:ln w="22225" cap="rnd">
              <a:solidFill>
                <a:schemeClr val="accent1"/>
              </a:solid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xVal>
            <c:numRef>
              <c:f>Sensibilidad!$C$18:$J$18</c:f>
              <c:numCache>
                <c:formatCode>0%</c:formatCode>
                <c:ptCount val="8"/>
                <c:pt idx="0">
                  <c:v>0.03</c:v>
                </c:pt>
                <c:pt idx="1">
                  <c:v>0.05</c:v>
                </c:pt>
                <c:pt idx="2">
                  <c:v>0.1</c:v>
                </c:pt>
                <c:pt idx="3">
                  <c:v>0.15</c:v>
                </c:pt>
                <c:pt idx="4">
                  <c:v>0.2</c:v>
                </c:pt>
                <c:pt idx="5">
                  <c:v>-0.03</c:v>
                </c:pt>
                <c:pt idx="6">
                  <c:v>-0.05</c:v>
                </c:pt>
                <c:pt idx="7">
                  <c:v>-0.1</c:v>
                </c:pt>
              </c:numCache>
            </c:numRef>
          </c:xVal>
          <c:yVal>
            <c:numRef>
              <c:f>Sensibilidad!$C$19:$J$19</c:f>
              <c:numCache>
                <c:formatCode>[$$-409]#,##0</c:formatCode>
                <c:ptCount val="8"/>
                <c:pt idx="0">
                  <c:v>287238972.273552</c:v>
                </c:pt>
                <c:pt idx="1">
                  <c:v>287027090.36370188</c:v>
                </c:pt>
                <c:pt idx="2">
                  <c:v>286497385.58907658</c:v>
                </c:pt>
                <c:pt idx="3" formatCode="[$$-45C]#,##0">
                  <c:v>285967680.81445122</c:v>
                </c:pt>
                <c:pt idx="4" formatCode="[$$-45C]#,##0">
                  <c:v>285437976.03982586</c:v>
                </c:pt>
                <c:pt idx="5" formatCode="[$$-45C]#,##0">
                  <c:v>287874618.0031023</c:v>
                </c:pt>
                <c:pt idx="6" formatCode="[$$-45C]#,##0">
                  <c:v>288086499.91295254</c:v>
                </c:pt>
                <c:pt idx="7" formatCode="[$$-45C]#,##0">
                  <c:v>288616204.68757784</c:v>
                </c:pt>
              </c:numCache>
            </c:numRef>
          </c:yVal>
          <c:smooth val="0"/>
        </c:ser>
        <c:dLbls>
          <c:showLegendKey val="0"/>
          <c:showVal val="0"/>
          <c:showCatName val="0"/>
          <c:showSerName val="0"/>
          <c:showPercent val="0"/>
          <c:showBubbleSize val="0"/>
        </c:dLbls>
        <c:axId val="5413488"/>
        <c:axId val="5414048"/>
      </c:scatterChart>
      <c:valAx>
        <c:axId val="54134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5414048"/>
        <c:crosses val="autoZero"/>
        <c:crossBetween val="midCat"/>
      </c:valAx>
      <c:valAx>
        <c:axId val="54140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409]#,##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54134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WACC - BETA</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PE"/>
        </a:p>
      </c:txPr>
    </c:title>
    <c:autoTitleDeleted val="0"/>
    <c:plotArea>
      <c:layout/>
      <c:scatterChart>
        <c:scatterStyle val="lineMarker"/>
        <c:varyColors val="0"/>
        <c:ser>
          <c:idx val="0"/>
          <c:order val="0"/>
          <c:tx>
            <c:strRef>
              <c:f>Sensibilidad!$B$33</c:f>
              <c:strCache>
                <c:ptCount val="1"/>
                <c:pt idx="0">
                  <c:v>WACC</c:v>
                </c:pt>
              </c:strCache>
            </c:strRef>
          </c:tx>
          <c:spPr>
            <a:ln w="22225" cap="rnd">
              <a:solidFill>
                <a:schemeClr val="accent1"/>
              </a:solid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xVal>
            <c:numRef>
              <c:f>Sensibilidad!$C$32:$J$32</c:f>
              <c:numCache>
                <c:formatCode>0.0</c:formatCode>
                <c:ptCount val="8"/>
                <c:pt idx="0">
                  <c:v>0.6</c:v>
                </c:pt>
                <c:pt idx="1">
                  <c:v>0.7</c:v>
                </c:pt>
                <c:pt idx="2">
                  <c:v>0.8</c:v>
                </c:pt>
                <c:pt idx="3">
                  <c:v>0.9</c:v>
                </c:pt>
                <c:pt idx="4">
                  <c:v>1</c:v>
                </c:pt>
                <c:pt idx="5">
                  <c:v>1.1000000000000001</c:v>
                </c:pt>
                <c:pt idx="6">
                  <c:v>1.2</c:v>
                </c:pt>
                <c:pt idx="7">
                  <c:v>1.3</c:v>
                </c:pt>
              </c:numCache>
            </c:numRef>
          </c:xVal>
          <c:yVal>
            <c:numRef>
              <c:f>Sensibilidad!$C$33:$J$33</c:f>
              <c:numCache>
                <c:formatCode>0.0000</c:formatCode>
                <c:ptCount val="8"/>
                <c:pt idx="0">
                  <c:v>9.307399999999999E-2</c:v>
                </c:pt>
                <c:pt idx="1">
                  <c:v>0.10041299999999999</c:v>
                </c:pt>
                <c:pt idx="2">
                  <c:v>0.10775199999999999</c:v>
                </c:pt>
                <c:pt idx="3">
                  <c:v>0.11509099999999998</c:v>
                </c:pt>
                <c:pt idx="4">
                  <c:v>0.12243</c:v>
                </c:pt>
                <c:pt idx="5">
                  <c:v>0.129769</c:v>
                </c:pt>
                <c:pt idx="6">
                  <c:v>0.13710799999999998</c:v>
                </c:pt>
                <c:pt idx="7">
                  <c:v>0.14444699999999999</c:v>
                </c:pt>
              </c:numCache>
            </c:numRef>
          </c:yVal>
          <c:smooth val="0"/>
        </c:ser>
        <c:dLbls>
          <c:showLegendKey val="0"/>
          <c:showVal val="0"/>
          <c:showCatName val="0"/>
          <c:showSerName val="0"/>
          <c:showPercent val="0"/>
          <c:showBubbleSize val="0"/>
        </c:dLbls>
        <c:axId val="5416288"/>
        <c:axId val="5416848"/>
      </c:scatterChart>
      <c:valAx>
        <c:axId val="5416288"/>
        <c:scaling>
          <c:orientation val="minMax"/>
          <c:min val="0.5"/>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5416848"/>
        <c:crosses val="autoZero"/>
        <c:crossBetween val="midCat"/>
      </c:valAx>
      <c:valAx>
        <c:axId val="5416848"/>
        <c:scaling>
          <c:orientation val="minMax"/>
          <c:min val="6.0000000000000012E-2"/>
        </c:scaling>
        <c:delete val="0"/>
        <c:axPos val="l"/>
        <c:majorGridlines>
          <c:spPr>
            <a:ln w="9525" cap="flat" cmpd="sng" algn="ctr">
              <a:solidFill>
                <a:schemeClr val="dk1">
                  <a:lumMod val="65000"/>
                  <a:lumOff val="35000"/>
                  <a:alpha val="75000"/>
                </a:schemeClr>
              </a:solidFill>
              <a:round/>
            </a:ln>
            <a:effectLst/>
          </c:spPr>
        </c:majorGridlines>
        <c:numFmt formatCode="0.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54162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VAN e - BETA</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PE"/>
        </a:p>
      </c:txPr>
    </c:title>
    <c:autoTitleDeleted val="0"/>
    <c:plotArea>
      <c:layout/>
      <c:scatterChart>
        <c:scatterStyle val="lineMarker"/>
        <c:varyColors val="0"/>
        <c:ser>
          <c:idx val="0"/>
          <c:order val="0"/>
          <c:tx>
            <c:strRef>
              <c:f>Sensibilidad!$B$34</c:f>
              <c:strCache>
                <c:ptCount val="1"/>
                <c:pt idx="0">
                  <c:v>VAN e</c:v>
                </c:pt>
              </c:strCache>
            </c:strRef>
          </c:tx>
          <c:spPr>
            <a:ln w="22225" cap="rnd">
              <a:solidFill>
                <a:schemeClr val="accent1"/>
              </a:solid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xVal>
            <c:numRef>
              <c:f>Sensibilidad!$C$32:$J$32</c:f>
              <c:numCache>
                <c:formatCode>0.0</c:formatCode>
                <c:ptCount val="8"/>
                <c:pt idx="0">
                  <c:v>0.6</c:v>
                </c:pt>
                <c:pt idx="1">
                  <c:v>0.7</c:v>
                </c:pt>
                <c:pt idx="2">
                  <c:v>0.8</c:v>
                </c:pt>
                <c:pt idx="3">
                  <c:v>0.9</c:v>
                </c:pt>
                <c:pt idx="4">
                  <c:v>1</c:v>
                </c:pt>
                <c:pt idx="5">
                  <c:v>1.1000000000000001</c:v>
                </c:pt>
                <c:pt idx="6">
                  <c:v>1.2</c:v>
                </c:pt>
                <c:pt idx="7">
                  <c:v>1.3</c:v>
                </c:pt>
              </c:numCache>
            </c:numRef>
          </c:xVal>
          <c:yVal>
            <c:numRef>
              <c:f>Sensibilidad!$C$34:$J$34</c:f>
              <c:numCache>
                <c:formatCode>[$$-409]#,##0</c:formatCode>
                <c:ptCount val="8"/>
                <c:pt idx="0">
                  <c:v>429002126.31750369</c:v>
                </c:pt>
                <c:pt idx="1">
                  <c:v>383677321.5027889</c:v>
                </c:pt>
                <c:pt idx="2">
                  <c:v>343299329.76234192</c:v>
                </c:pt>
                <c:pt idx="3">
                  <c:v>307285311.12984091</c:v>
                </c:pt>
                <c:pt idx="4">
                  <c:v>275125476.6647464</c:v>
                </c:pt>
                <c:pt idx="5">
                  <c:v>246373427.93211561</c:v>
                </c:pt>
                <c:pt idx="6">
                  <c:v>220637836.93501192</c:v>
                </c:pt>
                <c:pt idx="7">
                  <c:v>197575272.162579</c:v>
                </c:pt>
              </c:numCache>
            </c:numRef>
          </c:yVal>
          <c:smooth val="0"/>
        </c:ser>
        <c:dLbls>
          <c:showLegendKey val="0"/>
          <c:showVal val="0"/>
          <c:showCatName val="0"/>
          <c:showSerName val="0"/>
          <c:showPercent val="0"/>
          <c:showBubbleSize val="0"/>
        </c:dLbls>
        <c:axId val="199778064"/>
        <c:axId val="199778624"/>
      </c:scatterChart>
      <c:valAx>
        <c:axId val="199778064"/>
        <c:scaling>
          <c:orientation val="minMax"/>
          <c:min val="0.5"/>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199778624"/>
        <c:crosses val="autoZero"/>
        <c:crossBetween val="midCat"/>
      </c:valAx>
      <c:valAx>
        <c:axId val="199778624"/>
        <c:scaling>
          <c:orientation val="minMax"/>
          <c:min val="1000000"/>
        </c:scaling>
        <c:delete val="0"/>
        <c:axPos val="l"/>
        <c:majorGridlines>
          <c:spPr>
            <a:ln w="9525" cap="flat" cmpd="sng" algn="ctr">
              <a:solidFill>
                <a:schemeClr val="dk1">
                  <a:lumMod val="65000"/>
                  <a:lumOff val="35000"/>
                  <a:alpha val="75000"/>
                </a:schemeClr>
              </a:solidFill>
              <a:round/>
            </a:ln>
            <a:effectLst/>
          </c:spPr>
        </c:majorGridlines>
        <c:numFmt formatCode="[$$-409]#,##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1997780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INVERSIÓN</a:t>
            </a:r>
          </a:p>
          <a:p>
            <a:pPr>
              <a:defRPr/>
            </a:pPr>
            <a:r>
              <a:rPr lang="en-US"/>
              <a:t>VAN 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PE"/>
        </a:p>
      </c:txPr>
    </c:title>
    <c:autoTitleDeleted val="0"/>
    <c:plotArea>
      <c:layout/>
      <c:scatterChart>
        <c:scatterStyle val="lineMarker"/>
        <c:varyColors val="0"/>
        <c:ser>
          <c:idx val="0"/>
          <c:order val="0"/>
          <c:tx>
            <c:strRef>
              <c:f>Sensibilidad!$B$45</c:f>
              <c:strCache>
                <c:ptCount val="1"/>
                <c:pt idx="0">
                  <c:v>VAN e</c:v>
                </c:pt>
              </c:strCache>
            </c:strRef>
          </c:tx>
          <c:spPr>
            <a:ln w="22225" cap="rnd">
              <a:solidFill>
                <a:schemeClr val="accent1"/>
              </a:solid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xVal>
            <c:numRef>
              <c:f>Sensibilidad!$C$44:$J$44</c:f>
              <c:numCache>
                <c:formatCode>0%</c:formatCode>
                <c:ptCount val="8"/>
                <c:pt idx="0">
                  <c:v>0.1</c:v>
                </c:pt>
                <c:pt idx="1">
                  <c:v>0.15</c:v>
                </c:pt>
                <c:pt idx="2">
                  <c:v>0.2</c:v>
                </c:pt>
                <c:pt idx="3">
                  <c:v>0.3</c:v>
                </c:pt>
                <c:pt idx="4">
                  <c:v>-0.1</c:v>
                </c:pt>
                <c:pt idx="5">
                  <c:v>-0.15</c:v>
                </c:pt>
                <c:pt idx="6">
                  <c:v>-0.2</c:v>
                </c:pt>
                <c:pt idx="7">
                  <c:v>-0.3</c:v>
                </c:pt>
              </c:numCache>
            </c:numRef>
          </c:xVal>
          <c:yVal>
            <c:numRef>
              <c:f>Sensibilidad!$C$45:$J$45</c:f>
              <c:numCache>
                <c:formatCode>[$$-409]#,##0</c:formatCode>
                <c:ptCount val="8"/>
                <c:pt idx="0">
                  <c:v>283671112.64093184</c:v>
                </c:pt>
                <c:pt idx="1">
                  <c:v>281728271.39223415</c:v>
                </c:pt>
                <c:pt idx="2">
                  <c:v>279785430.14353645</c:v>
                </c:pt>
                <c:pt idx="3">
                  <c:v>275899747.64614111</c:v>
                </c:pt>
                <c:pt idx="4">
                  <c:v>291442477.63572252</c:v>
                </c:pt>
                <c:pt idx="5">
                  <c:v>293385318.88442016</c:v>
                </c:pt>
                <c:pt idx="6">
                  <c:v>295328160.13311785</c:v>
                </c:pt>
                <c:pt idx="7">
                  <c:v>299213842.63051319</c:v>
                </c:pt>
              </c:numCache>
            </c:numRef>
          </c:yVal>
          <c:smooth val="0"/>
        </c:ser>
        <c:dLbls>
          <c:showLegendKey val="0"/>
          <c:showVal val="0"/>
          <c:showCatName val="0"/>
          <c:showSerName val="0"/>
          <c:showPercent val="0"/>
          <c:showBubbleSize val="0"/>
        </c:dLbls>
        <c:axId val="199780864"/>
        <c:axId val="199781424"/>
      </c:scatterChart>
      <c:valAx>
        <c:axId val="1997808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199781424"/>
        <c:crosses val="autoZero"/>
        <c:crossBetween val="midCat"/>
      </c:valAx>
      <c:valAx>
        <c:axId val="1997814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409]#,##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1997808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PE"/>
              <a:t>ESTRUCTURA</a:t>
            </a:r>
            <a:r>
              <a:rPr lang="es-PE" baseline="0"/>
              <a:t> FINANCIERA</a:t>
            </a:r>
          </a:p>
          <a:p>
            <a:pPr>
              <a:defRPr/>
            </a:pPr>
            <a:r>
              <a:rPr lang="es-PE" baseline="0"/>
              <a:t>Ve - Vf</a:t>
            </a:r>
            <a:endParaRPr lang="es-PE"/>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PE"/>
        </a:p>
      </c:txPr>
    </c:title>
    <c:autoTitleDeleted val="0"/>
    <c:plotArea>
      <c:layout/>
      <c:scatterChart>
        <c:scatterStyle val="lineMarker"/>
        <c:varyColors val="0"/>
        <c:ser>
          <c:idx val="0"/>
          <c:order val="0"/>
          <c:tx>
            <c:strRef>
              <c:f>Sensibilidad!$B$60</c:f>
              <c:strCache>
                <c:ptCount val="1"/>
                <c:pt idx="0">
                  <c:v>VAN ECONÓMICO</c:v>
                </c:pt>
              </c:strCache>
            </c:strRef>
          </c:tx>
          <c:spPr>
            <a:ln w="22225" cap="rnd">
              <a:solidFill>
                <a:schemeClr val="accent1"/>
              </a:solid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xVal>
            <c:numRef>
              <c:f>Sensibilidad!$C$58:$G$58</c:f>
              <c:numCache>
                <c:formatCode>0%</c:formatCode>
                <c:ptCount val="5"/>
                <c:pt idx="0">
                  <c:v>0.6</c:v>
                </c:pt>
                <c:pt idx="1">
                  <c:v>0.55000000000000004</c:v>
                </c:pt>
                <c:pt idx="2">
                  <c:v>0.5</c:v>
                </c:pt>
                <c:pt idx="3">
                  <c:v>0.4</c:v>
                </c:pt>
                <c:pt idx="4">
                  <c:v>0.3</c:v>
                </c:pt>
              </c:numCache>
            </c:numRef>
          </c:xVal>
          <c:yVal>
            <c:numRef>
              <c:f>Sensibilidad!$C$60:$G$60</c:f>
              <c:numCache>
                <c:formatCode>[$$-409]#,##0</c:formatCode>
                <c:ptCount val="5"/>
                <c:pt idx="0">
                  <c:v>287556795.13832718</c:v>
                </c:pt>
                <c:pt idx="1">
                  <c:v>282009125.41941327</c:v>
                </c:pt>
                <c:pt idx="2">
                  <c:v>276570168.91161722</c:v>
                </c:pt>
                <c:pt idx="3">
                  <c:v>266009146.2566793</c:v>
                </c:pt>
                <c:pt idx="4">
                  <c:v>255855754.51930857</c:v>
                </c:pt>
              </c:numCache>
            </c:numRef>
          </c:yVal>
          <c:smooth val="0"/>
        </c:ser>
        <c:ser>
          <c:idx val="1"/>
          <c:order val="1"/>
          <c:tx>
            <c:strRef>
              <c:f>Sensibilidad!$B$61</c:f>
              <c:strCache>
                <c:ptCount val="1"/>
                <c:pt idx="0">
                  <c:v>VAN FINANCIERO</c:v>
                </c:pt>
              </c:strCache>
            </c:strRef>
          </c:tx>
          <c:spPr>
            <a:ln w="22225" cap="rnd">
              <a:solidFill>
                <a:schemeClr val="accent2"/>
              </a:solidFill>
            </a:ln>
            <a:effectLst>
              <a:glow rad="139700">
                <a:schemeClr val="accent2">
                  <a:satMod val="175000"/>
                  <a:alpha val="14000"/>
                </a:schemeClr>
              </a:glow>
            </a:effectLst>
          </c:spPr>
          <c:marker>
            <c:symbol val="circle"/>
            <c:size val="3"/>
            <c:spPr>
              <a:solidFill>
                <a:schemeClr val="accent2">
                  <a:lumMod val="60000"/>
                  <a:lumOff val="40000"/>
                </a:schemeClr>
              </a:solidFill>
              <a:ln>
                <a:noFill/>
              </a:ln>
              <a:effectLst>
                <a:glow rad="63500">
                  <a:schemeClr val="accent2">
                    <a:satMod val="175000"/>
                    <a:alpha val="25000"/>
                  </a:schemeClr>
                </a:glow>
              </a:effectLst>
            </c:spPr>
          </c:marker>
          <c:xVal>
            <c:numRef>
              <c:f>Sensibilidad!$C$58:$G$58</c:f>
              <c:numCache>
                <c:formatCode>0%</c:formatCode>
                <c:ptCount val="5"/>
                <c:pt idx="0">
                  <c:v>0.6</c:v>
                </c:pt>
                <c:pt idx="1">
                  <c:v>0.55000000000000004</c:v>
                </c:pt>
                <c:pt idx="2">
                  <c:v>0.5</c:v>
                </c:pt>
                <c:pt idx="3">
                  <c:v>0.4</c:v>
                </c:pt>
                <c:pt idx="4">
                  <c:v>0.3</c:v>
                </c:pt>
              </c:numCache>
            </c:numRef>
          </c:xVal>
          <c:yVal>
            <c:numRef>
              <c:f>Sensibilidad!$C$61:$G$61</c:f>
              <c:numCache>
                <c:formatCode>[$$-409]#,##0</c:formatCode>
                <c:ptCount val="5"/>
                <c:pt idx="0">
                  <c:v>67341627.020975128</c:v>
                </c:pt>
                <c:pt idx="1">
                  <c:v>85729889.869933933</c:v>
                </c:pt>
                <c:pt idx="2">
                  <c:v>103867895.87266454</c:v>
                </c:pt>
                <c:pt idx="3">
                  <c:v>138559993.39675412</c:v>
                </c:pt>
                <c:pt idx="4">
                  <c:v>170534773.39855906</c:v>
                </c:pt>
              </c:numCache>
            </c:numRef>
          </c:yVal>
          <c:smooth val="0"/>
        </c:ser>
        <c:dLbls>
          <c:showLegendKey val="0"/>
          <c:showVal val="0"/>
          <c:showCatName val="0"/>
          <c:showSerName val="0"/>
          <c:showPercent val="0"/>
          <c:showBubbleSize val="0"/>
        </c:dLbls>
        <c:axId val="199784224"/>
        <c:axId val="199784784"/>
      </c:scatterChart>
      <c:valAx>
        <c:axId val="199784224"/>
        <c:scaling>
          <c:orientation val="minMax"/>
          <c:min val="0.25"/>
        </c:scaling>
        <c:delete val="0"/>
        <c:axPos val="b"/>
        <c:majorGridlines>
          <c:spPr>
            <a:ln w="9525" cap="flat" cmpd="sng" algn="ctr">
              <a:solidFill>
                <a:schemeClr val="dk1">
                  <a:lumMod val="65000"/>
                  <a:lumOff val="35000"/>
                  <a:alpha val="75000"/>
                </a:schemeClr>
              </a:solidFill>
              <a:round/>
            </a:ln>
            <a:effectLst/>
          </c:spPr>
        </c:majorGridlines>
        <c:numFmt formatCode="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199784784"/>
        <c:crosses val="autoZero"/>
        <c:crossBetween val="midCat"/>
      </c:valAx>
      <c:valAx>
        <c:axId val="1997847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409]#,##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199784224"/>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legend>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PE"/>
              <a:t>EBITDA - EBIT</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PE"/>
        </a:p>
      </c:txPr>
    </c:title>
    <c:autoTitleDeleted val="0"/>
    <c:plotArea>
      <c:layout/>
      <c:scatterChart>
        <c:scatterStyle val="lineMarker"/>
        <c:varyColors val="0"/>
        <c:ser>
          <c:idx val="0"/>
          <c:order val="0"/>
          <c:tx>
            <c:strRef>
              <c:f>'Balance del proyecto'!$B$72</c:f>
              <c:strCache>
                <c:ptCount val="1"/>
                <c:pt idx="0">
                  <c:v>EBITDA</c:v>
                </c:pt>
              </c:strCache>
            </c:strRef>
          </c:tx>
          <c:spPr>
            <a:ln w="95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cap="rnd">
                <a:solidFill>
                  <a:schemeClr val="accent1"/>
                </a:solidFill>
                <a:round/>
              </a:ln>
              <a:effectLst>
                <a:outerShdw blurRad="57150" dist="19050" dir="5400000" algn="ctr" rotWithShape="0">
                  <a:srgbClr val="000000">
                    <a:alpha val="63000"/>
                  </a:srgbClr>
                </a:outerShdw>
              </a:effectLst>
            </c:spPr>
          </c:marker>
          <c:xVal>
            <c:multiLvlStrRef>
              <c:f>'Balance del proyecto'!$C$70:$AA$71</c:f>
              <c:multiLvlStrCache>
                <c:ptCount val="25"/>
                <c:lvl>
                  <c:pt idx="4">
                    <c:v>0</c:v>
                  </c:pt>
                  <c:pt idx="5">
                    <c:v>8,327,021</c:v>
                  </c:pt>
                  <c:pt idx="6">
                    <c:v>8,804,766</c:v>
                  </c:pt>
                  <c:pt idx="7">
                    <c:v>9,557,516</c:v>
                  </c:pt>
                  <c:pt idx="8">
                    <c:v>10,655,859</c:v>
                  </c:pt>
                  <c:pt idx="9">
                    <c:v>12,210,897</c:v>
                  </c:pt>
                  <c:pt idx="10">
                    <c:v>14,393,646</c:v>
                  </c:pt>
                  <c:pt idx="11">
                    <c:v>17,466,974</c:v>
                  </c:pt>
                  <c:pt idx="12">
                    <c:v>21,838,416</c:v>
                  </c:pt>
                  <c:pt idx="13">
                    <c:v>28,148,583</c:v>
                  </c:pt>
                  <c:pt idx="14">
                    <c:v>37,421,505</c:v>
                  </c:pt>
                  <c:pt idx="15">
                    <c:v>51,324,825</c:v>
                  </c:pt>
                  <c:pt idx="16">
                    <c:v>72,628,600</c:v>
                  </c:pt>
                  <c:pt idx="17">
                    <c:v>106,030,206</c:v>
                  </c:pt>
                  <c:pt idx="18">
                    <c:v>159,667,443</c:v>
                  </c:pt>
                  <c:pt idx="19">
                    <c:v>247,951,657</c:v>
                  </c:pt>
                  <c:pt idx="20">
                    <c:v>396,985,017</c:v>
                  </c:pt>
                  <c:pt idx="21">
                    <c:v>397,037,179</c:v>
                  </c:pt>
                  <c:pt idx="22">
                    <c:v>397,091,011</c:v>
                  </c:pt>
                  <c:pt idx="23">
                    <c:v>397,146,565</c:v>
                  </c:pt>
                  <c:pt idx="24">
                    <c:v>397,203,896</c:v>
                  </c:pt>
                </c:lvl>
                <c:lvl>
                  <c:pt idx="4">
                    <c:v>AÑO 2015</c:v>
                  </c:pt>
                  <c:pt idx="5">
                    <c:v>AÑO 2016</c:v>
                  </c:pt>
                  <c:pt idx="6">
                    <c:v>AÑO 2017</c:v>
                  </c:pt>
                  <c:pt idx="7">
                    <c:v>AÑO 2018</c:v>
                  </c:pt>
                  <c:pt idx="8">
                    <c:v>AÑO 2019</c:v>
                  </c:pt>
                  <c:pt idx="9">
                    <c:v>AÑO 2020</c:v>
                  </c:pt>
                  <c:pt idx="10">
                    <c:v>AÑO 2021</c:v>
                  </c:pt>
                  <c:pt idx="11">
                    <c:v>AÑO 2022</c:v>
                  </c:pt>
                  <c:pt idx="12">
                    <c:v>AÑO 2023</c:v>
                  </c:pt>
                  <c:pt idx="13">
                    <c:v>AÑO 2024</c:v>
                  </c:pt>
                  <c:pt idx="14">
                    <c:v>AÑO 2025</c:v>
                  </c:pt>
                  <c:pt idx="15">
                    <c:v>AÑO 2026</c:v>
                  </c:pt>
                  <c:pt idx="16">
                    <c:v>AÑO 2027</c:v>
                  </c:pt>
                  <c:pt idx="17">
                    <c:v>AÑO 2028</c:v>
                  </c:pt>
                  <c:pt idx="18">
                    <c:v>AÑO 2029</c:v>
                  </c:pt>
                  <c:pt idx="19">
                    <c:v>AÑO 2030</c:v>
                  </c:pt>
                  <c:pt idx="20">
                    <c:v>AÑO 2031</c:v>
                  </c:pt>
                  <c:pt idx="21">
                    <c:v>AÑO 2032</c:v>
                  </c:pt>
                  <c:pt idx="22">
                    <c:v>AÑO 2033</c:v>
                  </c:pt>
                  <c:pt idx="23">
                    <c:v>AÑO 2034</c:v>
                  </c:pt>
                  <c:pt idx="24">
                    <c:v>AÑO 2035</c:v>
                  </c:pt>
                </c:lvl>
              </c:multiLvlStrCache>
            </c:multiLvlStrRef>
          </c:xVal>
          <c:yVal>
            <c:numRef>
              <c:f>'Balance del proyecto'!$C$72:$AA$72</c:f>
              <c:numCache>
                <c:formatCode>General</c:formatCode>
                <c:ptCount val="25"/>
                <c:pt idx="4" formatCode="#,##0">
                  <c:v>0</c:v>
                </c:pt>
                <c:pt idx="5" formatCode="#,##0">
                  <c:v>6399356.0123873278</c:v>
                </c:pt>
                <c:pt idx="6" formatCode="#,##0">
                  <c:v>6863911.6382647865</c:v>
                </c:pt>
                <c:pt idx="7" formatCode="#,##0">
                  <c:v>7603075.7698854282</c:v>
                </c:pt>
                <c:pt idx="8" formatCode="#,##0">
                  <c:v>8687425.586041959</c:v>
                </c:pt>
                <c:pt idx="9" formatCode="#,##0">
                  <c:v>10228051.015216175</c:v>
                </c:pt>
                <c:pt idx="10" formatCode="#,##0">
                  <c:v>12395955.33390224</c:v>
                </c:pt>
                <c:pt idx="11" formatCode="#,##0">
                  <c:v>15453993.028975639</c:v>
                </c:pt>
                <c:pt idx="12" formatCode="#,##0">
                  <c:v>19809685.371346582</c:v>
                </c:pt>
                <c:pt idx="13" formatCode="#,##0">
                  <c:v>26103630.427807257</c:v>
                </c:pt>
                <c:pt idx="14" formatCode="#,##0">
                  <c:v>35359844.358014286</c:v>
                </c:pt>
                <c:pt idx="15" formatCode="#,##0">
                  <c:v>49245954.543454997</c:v>
                </c:pt>
                <c:pt idx="16" formatCode="#,##0">
                  <c:v>70532004.371707097</c:v>
                </c:pt>
                <c:pt idx="17" formatCode="#,##0">
                  <c:v>103915352.08238798</c:v>
                </c:pt>
                <c:pt idx="18" formatCode="#,##0">
                  <c:v>157533784.33327022</c:v>
                </c:pt>
                <c:pt idx="19" formatCode="#,##0">
                  <c:v>245798628.46556506</c:v>
                </c:pt>
                <c:pt idx="20" formatCode="#,##0">
                  <c:v>394812038.26578361</c:v>
                </c:pt>
                <c:pt idx="21" formatCode="#,##0">
                  <c:v>394843651.34170157</c:v>
                </c:pt>
                <c:pt idx="22" formatCode="#,##0">
                  <c:v>394876317.13424343</c:v>
                </c:pt>
                <c:pt idx="23" formatCode="#,##0">
                  <c:v>394910070.56328714</c:v>
                </c:pt>
                <c:pt idx="24" formatCode="#,##0">
                  <c:v>394944947.70313478</c:v>
                </c:pt>
              </c:numCache>
            </c:numRef>
          </c:yVal>
          <c:smooth val="0"/>
        </c:ser>
        <c:ser>
          <c:idx val="1"/>
          <c:order val="1"/>
          <c:tx>
            <c:strRef>
              <c:f>'Balance del proyecto'!$B$73</c:f>
              <c:strCache>
                <c:ptCount val="1"/>
                <c:pt idx="0">
                  <c:v>EBIT</c:v>
                </c:pt>
              </c:strCache>
            </c:strRef>
          </c:tx>
          <c:spPr>
            <a:ln w="95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cap="rnd">
                <a:solidFill>
                  <a:schemeClr val="accent2"/>
                </a:solidFill>
                <a:round/>
              </a:ln>
              <a:effectLst>
                <a:outerShdw blurRad="57150" dist="19050" dir="5400000" algn="ctr" rotWithShape="0">
                  <a:srgbClr val="000000">
                    <a:alpha val="63000"/>
                  </a:srgbClr>
                </a:outerShdw>
              </a:effectLst>
            </c:spPr>
          </c:marker>
          <c:xVal>
            <c:multiLvlStrRef>
              <c:f>'Balance del proyecto'!$C$70:$AA$71</c:f>
              <c:multiLvlStrCache>
                <c:ptCount val="25"/>
                <c:lvl>
                  <c:pt idx="4">
                    <c:v>0</c:v>
                  </c:pt>
                  <c:pt idx="5">
                    <c:v>8,327,021</c:v>
                  </c:pt>
                  <c:pt idx="6">
                    <c:v>8,804,766</c:v>
                  </c:pt>
                  <c:pt idx="7">
                    <c:v>9,557,516</c:v>
                  </c:pt>
                  <c:pt idx="8">
                    <c:v>10,655,859</c:v>
                  </c:pt>
                  <c:pt idx="9">
                    <c:v>12,210,897</c:v>
                  </c:pt>
                  <c:pt idx="10">
                    <c:v>14,393,646</c:v>
                  </c:pt>
                  <c:pt idx="11">
                    <c:v>17,466,974</c:v>
                  </c:pt>
                  <c:pt idx="12">
                    <c:v>21,838,416</c:v>
                  </c:pt>
                  <c:pt idx="13">
                    <c:v>28,148,583</c:v>
                  </c:pt>
                  <c:pt idx="14">
                    <c:v>37,421,505</c:v>
                  </c:pt>
                  <c:pt idx="15">
                    <c:v>51,324,825</c:v>
                  </c:pt>
                  <c:pt idx="16">
                    <c:v>72,628,600</c:v>
                  </c:pt>
                  <c:pt idx="17">
                    <c:v>106,030,206</c:v>
                  </c:pt>
                  <c:pt idx="18">
                    <c:v>159,667,443</c:v>
                  </c:pt>
                  <c:pt idx="19">
                    <c:v>247,951,657</c:v>
                  </c:pt>
                  <c:pt idx="20">
                    <c:v>396,985,017</c:v>
                  </c:pt>
                  <c:pt idx="21">
                    <c:v>397,037,179</c:v>
                  </c:pt>
                  <c:pt idx="22">
                    <c:v>397,091,011</c:v>
                  </c:pt>
                  <c:pt idx="23">
                    <c:v>397,146,565</c:v>
                  </c:pt>
                  <c:pt idx="24">
                    <c:v>397,203,896</c:v>
                  </c:pt>
                </c:lvl>
                <c:lvl>
                  <c:pt idx="4">
                    <c:v>AÑO 2015</c:v>
                  </c:pt>
                  <c:pt idx="5">
                    <c:v>AÑO 2016</c:v>
                  </c:pt>
                  <c:pt idx="6">
                    <c:v>AÑO 2017</c:v>
                  </c:pt>
                  <c:pt idx="7">
                    <c:v>AÑO 2018</c:v>
                  </c:pt>
                  <c:pt idx="8">
                    <c:v>AÑO 2019</c:v>
                  </c:pt>
                  <c:pt idx="9">
                    <c:v>AÑO 2020</c:v>
                  </c:pt>
                  <c:pt idx="10">
                    <c:v>AÑO 2021</c:v>
                  </c:pt>
                  <c:pt idx="11">
                    <c:v>AÑO 2022</c:v>
                  </c:pt>
                  <c:pt idx="12">
                    <c:v>AÑO 2023</c:v>
                  </c:pt>
                  <c:pt idx="13">
                    <c:v>AÑO 2024</c:v>
                  </c:pt>
                  <c:pt idx="14">
                    <c:v>AÑO 2025</c:v>
                  </c:pt>
                  <c:pt idx="15">
                    <c:v>AÑO 2026</c:v>
                  </c:pt>
                  <c:pt idx="16">
                    <c:v>AÑO 2027</c:v>
                  </c:pt>
                  <c:pt idx="17">
                    <c:v>AÑO 2028</c:v>
                  </c:pt>
                  <c:pt idx="18">
                    <c:v>AÑO 2029</c:v>
                  </c:pt>
                  <c:pt idx="19">
                    <c:v>AÑO 2030</c:v>
                  </c:pt>
                  <c:pt idx="20">
                    <c:v>AÑO 2031</c:v>
                  </c:pt>
                  <c:pt idx="21">
                    <c:v>AÑO 2032</c:v>
                  </c:pt>
                  <c:pt idx="22">
                    <c:v>AÑO 2033</c:v>
                  </c:pt>
                  <c:pt idx="23">
                    <c:v>AÑO 2034</c:v>
                  </c:pt>
                  <c:pt idx="24">
                    <c:v>AÑO 2035</c:v>
                  </c:pt>
                </c:lvl>
              </c:multiLvlStrCache>
            </c:multiLvlStrRef>
          </c:xVal>
          <c:yVal>
            <c:numRef>
              <c:f>'Balance del proyecto'!$C$73:$AA$73</c:f>
              <c:numCache>
                <c:formatCode>General</c:formatCode>
                <c:ptCount val="25"/>
                <c:pt idx="4" formatCode="#,##0">
                  <c:v>-15542729.989581373</c:v>
                </c:pt>
                <c:pt idx="5" formatCode="#,##0">
                  <c:v>2768231.5575440289</c:v>
                </c:pt>
                <c:pt idx="6" formatCode="#,##0">
                  <c:v>3647087.5646193163</c:v>
                </c:pt>
                <c:pt idx="7" formatCode="#,##0">
                  <c:v>4910395.4797350615</c:v>
                </c:pt>
                <c:pt idx="8" formatCode="#,##0">
                  <c:v>6656963.3532010503</c:v>
                </c:pt>
                <c:pt idx="9" formatCode="#,##0">
                  <c:v>9042317.0848917998</c:v>
                </c:pt>
                <c:pt idx="10" formatCode="#,##0">
                  <c:v>12305861.261899136</c:v>
                </c:pt>
                <c:pt idx="11" formatCode="#,##0">
                  <c:v>16815592.165848743</c:v>
                </c:pt>
                <c:pt idx="12" formatCode="#,##0">
                  <c:v>23142039.576014906</c:v>
                </c:pt>
                <c:pt idx="13" formatCode="#,##0">
                  <c:v>32182040.785906695</c:v>
                </c:pt>
                <c:pt idx="14" formatCode="#,##0">
                  <c:v>45369218.419043392</c:v>
                </c:pt>
                <c:pt idx="15" formatCode="#,##0">
                  <c:v>67369660.307944432</c:v>
                </c:pt>
                <c:pt idx="16" formatCode="#,##0">
                  <c:v>97170130.067497358</c:v>
                </c:pt>
                <c:pt idx="17" formatCode="#,##0">
                  <c:v>143906816.8624506</c:v>
                </c:pt>
                <c:pt idx="18" formatCode="#,##0">
                  <c:v>218972622.01368576</c:v>
                </c:pt>
                <c:pt idx="19" formatCode="#,##0">
                  <c:v>342543403.79889846</c:v>
                </c:pt>
                <c:pt idx="20" formatCode="#,##0">
                  <c:v>551162177.5192045</c:v>
                </c:pt>
                <c:pt idx="21" formatCode="#,##0">
                  <c:v>551206435.82548964</c:v>
                </c:pt>
                <c:pt idx="22" formatCode="#,##0">
                  <c:v>551252167.93504822</c:v>
                </c:pt>
                <c:pt idx="23" formatCode="#,##0">
                  <c:v>551299422.73570943</c:v>
                </c:pt>
                <c:pt idx="24" formatCode="#,##0">
                  <c:v>558034210.58148265</c:v>
                </c:pt>
              </c:numCache>
            </c:numRef>
          </c:yVal>
          <c:smooth val="0"/>
        </c:ser>
        <c:dLbls>
          <c:showLegendKey val="0"/>
          <c:showVal val="0"/>
          <c:showCatName val="0"/>
          <c:showSerName val="0"/>
          <c:showPercent val="0"/>
          <c:showBubbleSize val="0"/>
        </c:dLbls>
        <c:axId val="199788144"/>
        <c:axId val="199788704"/>
      </c:scatterChart>
      <c:valAx>
        <c:axId val="199788144"/>
        <c:scaling>
          <c:orientation val="minMax"/>
          <c:max val="25"/>
        </c:scaling>
        <c:delete val="0"/>
        <c:axPos val="b"/>
        <c:majorGridlines>
          <c:spPr>
            <a:ln w="9525" cap="flat" cmpd="sng" algn="ctr">
              <a:solidFill>
                <a:schemeClr val="lt1">
                  <a:lumMod val="95000"/>
                  <a:alpha val="10000"/>
                </a:schemeClr>
              </a:solidFill>
              <a:round/>
            </a:ln>
            <a:effectLst/>
          </c:spPr>
        </c:majorGridlines>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199788704"/>
        <c:crosses val="autoZero"/>
        <c:crossBetween val="midCat"/>
      </c:valAx>
      <c:valAx>
        <c:axId val="199788704"/>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19978814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P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INGRESOS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PE"/>
        </a:p>
      </c:txPr>
    </c:title>
    <c:autoTitleDeleted val="0"/>
    <c:plotArea>
      <c:layout/>
      <c:scatterChart>
        <c:scatterStyle val="lineMarker"/>
        <c:varyColors val="0"/>
        <c:ser>
          <c:idx val="0"/>
          <c:order val="0"/>
          <c:tx>
            <c:strRef>
              <c:f>'Balance del proyecto'!$B$71</c:f>
              <c:strCache>
                <c:ptCount val="1"/>
                <c:pt idx="0">
                  <c:v>Ingresos</c:v>
                </c:pt>
              </c:strCache>
            </c:strRef>
          </c:tx>
          <c:spPr>
            <a:ln w="95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cap="rnd">
                <a:solidFill>
                  <a:schemeClr val="accent1"/>
                </a:solidFill>
                <a:round/>
              </a:ln>
              <a:effectLst>
                <a:outerShdw blurRad="57150" dist="19050" dir="5400000" algn="ctr" rotWithShape="0">
                  <a:srgbClr val="000000">
                    <a:alpha val="63000"/>
                  </a:srgbClr>
                </a:outerShdw>
              </a:effectLst>
            </c:spPr>
          </c:marker>
          <c:xVal>
            <c:strRef>
              <c:f>'Balance del proyecto'!$C$70:$AA$70</c:f>
              <c:strCache>
                <c:ptCount val="25"/>
                <c:pt idx="4">
                  <c:v>AÑO 2015</c:v>
                </c:pt>
                <c:pt idx="5">
                  <c:v>AÑO 2016</c:v>
                </c:pt>
                <c:pt idx="6">
                  <c:v>AÑO 2017</c:v>
                </c:pt>
                <c:pt idx="7">
                  <c:v>AÑO 2018</c:v>
                </c:pt>
                <c:pt idx="8">
                  <c:v>AÑO 2019</c:v>
                </c:pt>
                <c:pt idx="9">
                  <c:v>AÑO 2020</c:v>
                </c:pt>
                <c:pt idx="10">
                  <c:v>AÑO 2021</c:v>
                </c:pt>
                <c:pt idx="11">
                  <c:v>AÑO 2022</c:v>
                </c:pt>
                <c:pt idx="12">
                  <c:v>AÑO 2023</c:v>
                </c:pt>
                <c:pt idx="13">
                  <c:v>AÑO 2024</c:v>
                </c:pt>
                <c:pt idx="14">
                  <c:v>AÑO 2025</c:v>
                </c:pt>
                <c:pt idx="15">
                  <c:v>AÑO 2026</c:v>
                </c:pt>
                <c:pt idx="16">
                  <c:v>AÑO 2027</c:v>
                </c:pt>
                <c:pt idx="17">
                  <c:v>AÑO 2028</c:v>
                </c:pt>
                <c:pt idx="18">
                  <c:v>AÑO 2029</c:v>
                </c:pt>
                <c:pt idx="19">
                  <c:v>AÑO 2030</c:v>
                </c:pt>
                <c:pt idx="20">
                  <c:v>AÑO 2031</c:v>
                </c:pt>
                <c:pt idx="21">
                  <c:v>AÑO 2032</c:v>
                </c:pt>
                <c:pt idx="22">
                  <c:v>AÑO 2033</c:v>
                </c:pt>
                <c:pt idx="23">
                  <c:v>AÑO 2034</c:v>
                </c:pt>
                <c:pt idx="24">
                  <c:v>AÑO 2035</c:v>
                </c:pt>
              </c:strCache>
            </c:strRef>
          </c:xVal>
          <c:yVal>
            <c:numRef>
              <c:f>'Balance del proyecto'!$C$71:$AA$71</c:f>
              <c:numCache>
                <c:formatCode>General</c:formatCode>
                <c:ptCount val="25"/>
                <c:pt idx="4" formatCode="#,##0">
                  <c:v>0</c:v>
                </c:pt>
                <c:pt idx="5" formatCode="#,##0">
                  <c:v>8327021.1682000002</c:v>
                </c:pt>
                <c:pt idx="6" formatCode="#,##0">
                  <c:v>8804766.4776774589</c:v>
                </c:pt>
                <c:pt idx="7" formatCode="#,##0">
                  <c:v>9557515.9834061004</c:v>
                </c:pt>
                <c:pt idx="8" formatCode="#,##0">
                  <c:v>10655858.734893871</c:v>
                </c:pt>
                <c:pt idx="9" formatCode="#,##0">
                  <c:v>12210896.887459265</c:v>
                </c:pt>
                <c:pt idx="10" formatCode="#,##0">
                  <c:v>14393646.311238242</c:v>
                </c:pt>
                <c:pt idx="11" formatCode="#,##0">
                  <c:v>17466974.464557342</c:v>
                </c:pt>
                <c:pt idx="12" formatCode="#,##0">
                  <c:v>21838415.978921354</c:v>
                </c:pt>
                <c:pt idx="13" formatCode="#,##0">
                  <c:v>28148582.682534892</c:v>
                </c:pt>
                <c:pt idx="14" formatCode="#,##0">
                  <c:v>37421504.909309372</c:v>
                </c:pt>
                <c:pt idx="15" formatCode="#,##0">
                  <c:v>51324824.640214555</c:v>
                </c:pt>
                <c:pt idx="16" formatCode="#,##0">
                  <c:v>72628600.300295055</c:v>
                </c:pt>
                <c:pt idx="17" formatCode="#,##0">
                  <c:v>106030205.61775921</c:v>
                </c:pt>
                <c:pt idx="18" formatCode="#,##0">
                  <c:v>159667443.20362821</c:v>
                </c:pt>
                <c:pt idx="19" formatCode="#,##0">
                  <c:v>247951656.83095938</c:v>
                </c:pt>
                <c:pt idx="20" formatCode="#,##0">
                  <c:v>396985017.21106541</c:v>
                </c:pt>
                <c:pt idx="21" formatCode="#,##0">
                  <c:v>397037179.38426745</c:v>
                </c:pt>
                <c:pt idx="22" formatCode="#,##0">
                  <c:v>397091010.7470119</c:v>
                </c:pt>
                <c:pt idx="23" formatCode="#,##0">
                  <c:v>397146564.71336424</c:v>
                </c:pt>
                <c:pt idx="24" formatCode="#,##0">
                  <c:v>397203896.40663981</c:v>
                </c:pt>
              </c:numCache>
            </c:numRef>
          </c:yVal>
          <c:smooth val="0"/>
        </c:ser>
        <c:dLbls>
          <c:showLegendKey val="0"/>
          <c:showVal val="0"/>
          <c:showCatName val="0"/>
          <c:showSerName val="0"/>
          <c:showPercent val="0"/>
          <c:showBubbleSize val="0"/>
        </c:dLbls>
        <c:axId val="199791504"/>
        <c:axId val="199792064"/>
      </c:scatterChart>
      <c:valAx>
        <c:axId val="199791504"/>
        <c:scaling>
          <c:orientation val="minMax"/>
          <c:max val="25"/>
        </c:scaling>
        <c:delete val="0"/>
        <c:axPos val="b"/>
        <c:majorGridlines>
          <c:spPr>
            <a:ln w="9525" cap="flat" cmpd="sng" algn="ctr">
              <a:solidFill>
                <a:schemeClr val="lt1">
                  <a:lumMod val="95000"/>
                  <a:alpha val="10000"/>
                </a:schemeClr>
              </a:solidFill>
              <a:round/>
            </a:ln>
            <a:effectLst/>
          </c:spPr>
        </c:majorGridlines>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199792064"/>
        <c:crosses val="autoZero"/>
        <c:crossBetween val="midCat"/>
      </c:valAx>
      <c:valAx>
        <c:axId val="199792064"/>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199791504"/>
        <c:crosses val="autoZero"/>
        <c:crossBetween val="midCat"/>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P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PE"/>
              <a:t>ROA - ROE</a:t>
            </a:r>
          </a:p>
          <a:p>
            <a:pPr>
              <a:defRPr/>
            </a:pPr>
            <a:endParaRPr lang="es-PE"/>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PE"/>
        </a:p>
      </c:txPr>
    </c:title>
    <c:autoTitleDeleted val="0"/>
    <c:plotArea>
      <c:layout/>
      <c:scatterChart>
        <c:scatterStyle val="lineMarker"/>
        <c:varyColors val="0"/>
        <c:ser>
          <c:idx val="0"/>
          <c:order val="0"/>
          <c:tx>
            <c:strRef>
              <c:f>'Balance del proyecto'!$B$64:$F$64</c:f>
              <c:strCache>
                <c:ptCount val="5"/>
                <c:pt idx="0">
                  <c:v>ROA</c:v>
                </c:pt>
              </c:strCache>
            </c:strRef>
          </c:tx>
          <c:spPr>
            <a:ln w="9525" cap="rnd">
              <a:solidFill>
                <a:schemeClr val="accent1"/>
              </a:solidFill>
              <a:round/>
            </a:ln>
            <a:effectLst>
              <a:outerShdw blurRad="57150" dist="19050" dir="5400000" algn="ctr" rotWithShape="0">
                <a:srgbClr val="000000">
                  <a:alpha val="63000"/>
                </a:srgbClr>
              </a:outerShdw>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cap="rnd">
                <a:solidFill>
                  <a:schemeClr val="accent1"/>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strRef>
              <c:f>'Balance del proyecto'!$G$63:$AA$63</c:f>
              <c:strCache>
                <c:ptCount val="21"/>
                <c:pt idx="0">
                  <c:v>AÑO 2015</c:v>
                </c:pt>
                <c:pt idx="1">
                  <c:v>AÑO 2016</c:v>
                </c:pt>
                <c:pt idx="2">
                  <c:v>AÑO 2018</c:v>
                </c:pt>
                <c:pt idx="3">
                  <c:v>AÑO 2019</c:v>
                </c:pt>
                <c:pt idx="4">
                  <c:v>AÑO 2020</c:v>
                </c:pt>
                <c:pt idx="5">
                  <c:v>AÑO 2021</c:v>
                </c:pt>
                <c:pt idx="6">
                  <c:v>AÑO 2022</c:v>
                </c:pt>
                <c:pt idx="7">
                  <c:v>AÑO 2023</c:v>
                </c:pt>
                <c:pt idx="8">
                  <c:v>AÑO 2024</c:v>
                </c:pt>
                <c:pt idx="9">
                  <c:v>AÑO 2025</c:v>
                </c:pt>
                <c:pt idx="10">
                  <c:v>AÑO 2026</c:v>
                </c:pt>
                <c:pt idx="11">
                  <c:v>AÑO 2027</c:v>
                </c:pt>
                <c:pt idx="12">
                  <c:v>AÑO 2028</c:v>
                </c:pt>
                <c:pt idx="13">
                  <c:v>AÑO 2029</c:v>
                </c:pt>
                <c:pt idx="14">
                  <c:v>AÑO 2030</c:v>
                </c:pt>
                <c:pt idx="15">
                  <c:v>AÑO 2031</c:v>
                </c:pt>
                <c:pt idx="16">
                  <c:v>AÑO 2032</c:v>
                </c:pt>
                <c:pt idx="17">
                  <c:v>AÑO 2033</c:v>
                </c:pt>
                <c:pt idx="18">
                  <c:v>AÑO 2034</c:v>
                </c:pt>
                <c:pt idx="19">
                  <c:v>AÑO 2035</c:v>
                </c:pt>
                <c:pt idx="20">
                  <c:v>AÑO 2036</c:v>
                </c:pt>
              </c:strCache>
            </c:strRef>
          </c:xVal>
          <c:yVal>
            <c:numRef>
              <c:f>'Balance del proyecto'!$G$64:$AA$64</c:f>
              <c:numCache>
                <c:formatCode>0.00%</c:formatCode>
                <c:ptCount val="21"/>
                <c:pt idx="1">
                  <c:v>4.8626106926014205E-2</c:v>
                </c:pt>
                <c:pt idx="2">
                  <c:v>6.0148674879349974E-2</c:v>
                </c:pt>
                <c:pt idx="3">
                  <c:v>7.5470217458324815E-2</c:v>
                </c:pt>
                <c:pt idx="4">
                  <c:v>9.4359120965669493E-2</c:v>
                </c:pt>
                <c:pt idx="5">
                  <c:v>0.11623830453979912</c:v>
                </c:pt>
                <c:pt idx="6">
                  <c:v>0.14016766509630718</c:v>
                </c:pt>
                <c:pt idx="7">
                  <c:v>0.16497542890558942</c:v>
                </c:pt>
                <c:pt idx="8">
                  <c:v>0.18951323865901654</c:v>
                </c:pt>
                <c:pt idx="9">
                  <c:v>0.21292496371964104</c:v>
                </c:pt>
                <c:pt idx="10">
                  <c:v>0.23480224157371757</c:v>
                </c:pt>
                <c:pt idx="11">
                  <c:v>0.25065362578843298</c:v>
                </c:pt>
                <c:pt idx="12">
                  <c:v>0.26677589005794761</c:v>
                </c:pt>
                <c:pt idx="13">
                  <c:v>0.28414541889666767</c:v>
                </c:pt>
                <c:pt idx="14">
                  <c:v>0.30254977059720883</c:v>
                </c:pt>
                <c:pt idx="15">
                  <c:v>0.32174153957848767</c:v>
                </c:pt>
                <c:pt idx="16">
                  <c:v>0.3414473400753622</c:v>
                </c:pt>
                <c:pt idx="17">
                  <c:v>0.254551796309406</c:v>
                </c:pt>
                <c:pt idx="18">
                  <c:v>0.20291603198008767</c:v>
                </c:pt>
                <c:pt idx="19">
                  <c:v>0.16869883086465801</c:v>
                </c:pt>
                <c:pt idx="20">
                  <c:v>0.14385361958619769</c:v>
                </c:pt>
              </c:numCache>
            </c:numRef>
          </c:yVal>
          <c:smooth val="0"/>
        </c:ser>
        <c:ser>
          <c:idx val="1"/>
          <c:order val="1"/>
          <c:tx>
            <c:strRef>
              <c:f>'Balance del proyecto'!$B$65:$F$65</c:f>
              <c:strCache>
                <c:ptCount val="5"/>
                <c:pt idx="0">
                  <c:v>ROE</c:v>
                </c:pt>
              </c:strCache>
            </c:strRef>
          </c:tx>
          <c:spPr>
            <a:ln w="95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cap="rnd">
                <a:solidFill>
                  <a:schemeClr val="accent2"/>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xVal>
            <c:strRef>
              <c:f>'Balance del proyecto'!$G$63:$AA$63</c:f>
              <c:strCache>
                <c:ptCount val="21"/>
                <c:pt idx="0">
                  <c:v>AÑO 2015</c:v>
                </c:pt>
                <c:pt idx="1">
                  <c:v>AÑO 2016</c:v>
                </c:pt>
                <c:pt idx="2">
                  <c:v>AÑO 2018</c:v>
                </c:pt>
                <c:pt idx="3">
                  <c:v>AÑO 2019</c:v>
                </c:pt>
                <c:pt idx="4">
                  <c:v>AÑO 2020</c:v>
                </c:pt>
                <c:pt idx="5">
                  <c:v>AÑO 2021</c:v>
                </c:pt>
                <c:pt idx="6">
                  <c:v>AÑO 2022</c:v>
                </c:pt>
                <c:pt idx="7">
                  <c:v>AÑO 2023</c:v>
                </c:pt>
                <c:pt idx="8">
                  <c:v>AÑO 2024</c:v>
                </c:pt>
                <c:pt idx="9">
                  <c:v>AÑO 2025</c:v>
                </c:pt>
                <c:pt idx="10">
                  <c:v>AÑO 2026</c:v>
                </c:pt>
                <c:pt idx="11">
                  <c:v>AÑO 2027</c:v>
                </c:pt>
                <c:pt idx="12">
                  <c:v>AÑO 2028</c:v>
                </c:pt>
                <c:pt idx="13">
                  <c:v>AÑO 2029</c:v>
                </c:pt>
                <c:pt idx="14">
                  <c:v>AÑO 2030</c:v>
                </c:pt>
                <c:pt idx="15">
                  <c:v>AÑO 2031</c:v>
                </c:pt>
                <c:pt idx="16">
                  <c:v>AÑO 2032</c:v>
                </c:pt>
                <c:pt idx="17">
                  <c:v>AÑO 2033</c:v>
                </c:pt>
                <c:pt idx="18">
                  <c:v>AÑO 2034</c:v>
                </c:pt>
                <c:pt idx="19">
                  <c:v>AÑO 2035</c:v>
                </c:pt>
                <c:pt idx="20">
                  <c:v>AÑO 2036</c:v>
                </c:pt>
              </c:strCache>
            </c:strRef>
          </c:xVal>
          <c:yVal>
            <c:numRef>
              <c:f>'Balance del proyecto'!$G$65:$AA$65</c:f>
              <c:numCache>
                <c:formatCode>0.00%</c:formatCode>
                <c:ptCount val="21"/>
                <c:pt idx="1">
                  <c:v>0.10756932059945529</c:v>
                </c:pt>
                <c:pt idx="2">
                  <c:v>0.11735250946166979</c:v>
                </c:pt>
                <c:pt idx="3">
                  <c:v>0.13010267393585881</c:v>
                </c:pt>
                <c:pt idx="4">
                  <c:v>0.14444988737956752</c:v>
                </c:pt>
                <c:pt idx="5">
                  <c:v>0.15945984832411875</c:v>
                </c:pt>
                <c:pt idx="6">
                  <c:v>0.17458377923852195</c:v>
                </c:pt>
                <c:pt idx="7">
                  <c:v>0.18959588871687361</c:v>
                </c:pt>
                <c:pt idx="8">
                  <c:v>0.20451211612421313</c:v>
                </c:pt>
                <c:pt idx="9">
                  <c:v>0.21950135948216123</c:v>
                </c:pt>
                <c:pt idx="10">
                  <c:v>0.23480224157371765</c:v>
                </c:pt>
                <c:pt idx="11">
                  <c:v>0.25065362578843303</c:v>
                </c:pt>
                <c:pt idx="12">
                  <c:v>0.26677589005794761</c:v>
                </c:pt>
                <c:pt idx="13">
                  <c:v>0.28414541889666772</c:v>
                </c:pt>
                <c:pt idx="14">
                  <c:v>0.30254977059720883</c:v>
                </c:pt>
                <c:pt idx="15">
                  <c:v>0.32174153957848767</c:v>
                </c:pt>
                <c:pt idx="16">
                  <c:v>0.34144734007536215</c:v>
                </c:pt>
                <c:pt idx="17">
                  <c:v>0.254551796309406</c:v>
                </c:pt>
                <c:pt idx="18">
                  <c:v>0.20291603198008767</c:v>
                </c:pt>
                <c:pt idx="19">
                  <c:v>0.16869883086465801</c:v>
                </c:pt>
                <c:pt idx="20">
                  <c:v>0.14435853184167871</c:v>
                </c:pt>
              </c:numCache>
            </c:numRef>
          </c:yVal>
          <c:smooth val="0"/>
        </c:ser>
        <c:dLbls>
          <c:showLegendKey val="0"/>
          <c:showVal val="0"/>
          <c:showCatName val="0"/>
          <c:showSerName val="0"/>
          <c:showPercent val="0"/>
          <c:showBubbleSize val="0"/>
        </c:dLbls>
        <c:axId val="200360432"/>
        <c:axId val="200360992"/>
      </c:scatterChart>
      <c:valAx>
        <c:axId val="200360432"/>
        <c:scaling>
          <c:orientation val="minMax"/>
        </c:scaling>
        <c:delete val="0"/>
        <c:axPos val="b"/>
        <c:majorGridlines>
          <c:spPr>
            <a:ln w="9525" cap="flat" cmpd="sng" algn="ctr">
              <a:solidFill>
                <a:schemeClr val="lt1">
                  <a:lumMod val="95000"/>
                  <a:alpha val="10000"/>
                </a:schemeClr>
              </a:solidFill>
              <a:round/>
            </a:ln>
            <a:effectLst/>
          </c:spPr>
        </c:majorGridlines>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200360992"/>
        <c:crosses val="autoZero"/>
        <c:crossBetween val="midCat"/>
      </c:valAx>
      <c:valAx>
        <c:axId val="200360992"/>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crossAx val="20036043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PE"/>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P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168087</xdr:colOff>
      <xdr:row>0</xdr:row>
      <xdr:rowOff>23532</xdr:rowOff>
    </xdr:from>
    <xdr:to>
      <xdr:col>17</xdr:col>
      <xdr:colOff>78441</xdr:colOff>
      <xdr:row>10</xdr:row>
      <xdr:rowOff>179294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179292</xdr:colOff>
      <xdr:row>12</xdr:row>
      <xdr:rowOff>1120</xdr:rowOff>
    </xdr:from>
    <xdr:to>
      <xdr:col>17</xdr:col>
      <xdr:colOff>89646</xdr:colOff>
      <xdr:row>24</xdr:row>
      <xdr:rowOff>22411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168087</xdr:colOff>
      <xdr:row>24</xdr:row>
      <xdr:rowOff>124385</xdr:rowOff>
    </xdr:from>
    <xdr:to>
      <xdr:col>15</xdr:col>
      <xdr:colOff>78440</xdr:colOff>
      <xdr:row>36</xdr:row>
      <xdr:rowOff>89647</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123264</xdr:colOff>
      <xdr:row>24</xdr:row>
      <xdr:rowOff>124386</xdr:rowOff>
    </xdr:from>
    <xdr:to>
      <xdr:col>20</xdr:col>
      <xdr:colOff>145676</xdr:colOff>
      <xdr:row>36</xdr:row>
      <xdr:rowOff>67235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168088</xdr:colOff>
      <xdr:row>36</xdr:row>
      <xdr:rowOff>180415</xdr:rowOff>
    </xdr:from>
    <xdr:to>
      <xdr:col>16</xdr:col>
      <xdr:colOff>705970</xdr:colOff>
      <xdr:row>49</xdr:row>
      <xdr:rowOff>22412</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179294</xdr:colOff>
      <xdr:row>50</xdr:row>
      <xdr:rowOff>1119</xdr:rowOff>
    </xdr:from>
    <xdr:to>
      <xdr:col>16</xdr:col>
      <xdr:colOff>717176</xdr:colOff>
      <xdr:row>64</xdr:row>
      <xdr:rowOff>100852</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94</xdr:row>
      <xdr:rowOff>17572</xdr:rowOff>
    </xdr:from>
    <xdr:to>
      <xdr:col>11</xdr:col>
      <xdr:colOff>398318</xdr:colOff>
      <xdr:row>130</xdr:row>
      <xdr:rowOff>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8660</xdr:colOff>
      <xdr:row>94</xdr:row>
      <xdr:rowOff>23913</xdr:rowOff>
    </xdr:from>
    <xdr:to>
      <xdr:col>19</xdr:col>
      <xdr:colOff>1368137</xdr:colOff>
      <xdr:row>130</xdr:row>
      <xdr:rowOff>51955</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130967</xdr:colOff>
      <xdr:row>44</xdr:row>
      <xdr:rowOff>166687</xdr:rowOff>
    </xdr:from>
    <xdr:to>
      <xdr:col>47</xdr:col>
      <xdr:colOff>164522</xdr:colOff>
      <xdr:row>78</xdr:row>
      <xdr:rowOff>138546</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29</xdr:col>
      <xdr:colOff>129885</xdr:colOff>
      <xdr:row>79</xdr:row>
      <xdr:rowOff>138546</xdr:rowOff>
    </xdr:from>
    <xdr:to>
      <xdr:col>36</xdr:col>
      <xdr:colOff>259773</xdr:colOff>
      <xdr:row>105</xdr:row>
      <xdr:rowOff>173181</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439575</xdr:colOff>
      <xdr:row>79</xdr:row>
      <xdr:rowOff>143740</xdr:rowOff>
    </xdr:from>
    <xdr:to>
      <xdr:col>43</xdr:col>
      <xdr:colOff>640773</xdr:colOff>
      <xdr:row>106</xdr:row>
      <xdr:rowOff>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44</xdr:col>
      <xdr:colOff>147202</xdr:colOff>
      <xdr:row>79</xdr:row>
      <xdr:rowOff>161058</xdr:rowOff>
    </xdr:from>
    <xdr:to>
      <xdr:col>52</xdr:col>
      <xdr:colOff>17317</xdr:colOff>
      <xdr:row>105</xdr:row>
      <xdr:rowOff>190499</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22410</xdr:colOff>
      <xdr:row>94</xdr:row>
      <xdr:rowOff>12325</xdr:rowOff>
    </xdr:from>
    <xdr:to>
      <xdr:col>24</xdr:col>
      <xdr:colOff>156881</xdr:colOff>
      <xdr:row>130</xdr:row>
      <xdr:rowOff>67234</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mbito.com/economia/mercados/riesgo-pais/info/?id=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4"/>
  <sheetViews>
    <sheetView topLeftCell="A21" zoomScale="85" zoomScaleNormal="85" workbookViewId="0">
      <selection activeCell="E46" sqref="E46"/>
    </sheetView>
  </sheetViews>
  <sheetFormatPr baseColWidth="10" defaultRowHeight="15" x14ac:dyDescent="0.25"/>
  <cols>
    <col min="3" max="3" width="21.28515625" customWidth="1"/>
    <col min="5" max="5" width="19.28515625" customWidth="1"/>
    <col min="6" max="6" width="11.7109375" bestFit="1" customWidth="1"/>
    <col min="7" max="7" width="13.85546875" customWidth="1"/>
    <col min="8" max="8" width="11.7109375" bestFit="1" customWidth="1"/>
    <col min="9" max="9" width="16.7109375" bestFit="1" customWidth="1"/>
    <col min="10" max="15" width="11.7109375" bestFit="1" customWidth="1"/>
    <col min="16" max="16" width="16.42578125" customWidth="1"/>
    <col min="17" max="21" width="12.140625" bestFit="1" customWidth="1"/>
    <col min="22" max="25" width="13.7109375" bestFit="1" customWidth="1"/>
    <col min="26" max="26" width="14.7109375" bestFit="1" customWidth="1"/>
  </cols>
  <sheetData>
    <row r="1" spans="2:25" ht="15" customHeight="1" x14ac:dyDescent="0.25">
      <c r="B1" s="314" t="s">
        <v>197</v>
      </c>
      <c r="C1" s="314"/>
      <c r="D1" s="314"/>
      <c r="E1" s="314"/>
      <c r="F1" s="314"/>
      <c r="G1" s="314"/>
    </row>
    <row r="2" spans="2:25" x14ac:dyDescent="0.25">
      <c r="B2" s="314"/>
      <c r="C2" s="314"/>
      <c r="D2" s="314"/>
      <c r="E2" s="314"/>
      <c r="F2" s="314"/>
      <c r="G2" s="314"/>
    </row>
    <row r="4" spans="2:25" x14ac:dyDescent="0.25">
      <c r="B4" s="319"/>
      <c r="C4" s="319"/>
      <c r="D4" s="319"/>
      <c r="E4" s="319"/>
      <c r="F4" s="82">
        <v>1</v>
      </c>
      <c r="G4" s="82">
        <v>2</v>
      </c>
      <c r="H4" s="82">
        <v>3</v>
      </c>
      <c r="I4" s="82">
        <v>4</v>
      </c>
      <c r="J4" s="82">
        <v>5</v>
      </c>
      <c r="K4" s="82">
        <v>6</v>
      </c>
      <c r="L4" s="82">
        <v>7</v>
      </c>
      <c r="M4" s="82">
        <v>8</v>
      </c>
      <c r="N4" s="82">
        <v>9</v>
      </c>
      <c r="O4" s="82">
        <v>10</v>
      </c>
      <c r="P4" s="82">
        <v>11</v>
      </c>
      <c r="Q4" s="82">
        <v>12</v>
      </c>
      <c r="R4" s="82">
        <v>13</v>
      </c>
      <c r="S4" s="82">
        <v>14</v>
      </c>
      <c r="T4" s="82">
        <v>15</v>
      </c>
      <c r="U4" s="82">
        <v>16</v>
      </c>
      <c r="V4" s="82">
        <v>17</v>
      </c>
      <c r="W4" s="82">
        <v>18</v>
      </c>
      <c r="X4" s="82">
        <v>19</v>
      </c>
      <c r="Y4" s="82">
        <v>20</v>
      </c>
    </row>
    <row r="5" spans="2:25" x14ac:dyDescent="0.25">
      <c r="B5" s="306" t="s">
        <v>0</v>
      </c>
      <c r="C5" s="306"/>
      <c r="D5" s="78">
        <v>20000</v>
      </c>
      <c r="E5" s="1"/>
      <c r="F5" s="76">
        <v>20000</v>
      </c>
      <c r="G5" s="76">
        <v>20000</v>
      </c>
      <c r="H5" s="76">
        <v>20000</v>
      </c>
      <c r="I5" s="76">
        <v>20000</v>
      </c>
      <c r="J5" s="76">
        <v>20000</v>
      </c>
      <c r="K5" s="76">
        <v>20000</v>
      </c>
      <c r="L5" s="76">
        <v>20000</v>
      </c>
      <c r="M5" s="76">
        <v>20000</v>
      </c>
      <c r="N5" s="76">
        <v>20000</v>
      </c>
      <c r="O5" s="76">
        <v>20000</v>
      </c>
      <c r="P5" s="76">
        <v>20000</v>
      </c>
      <c r="Q5" s="76">
        <v>20000</v>
      </c>
      <c r="R5" s="76">
        <v>20000</v>
      </c>
      <c r="S5" s="76">
        <v>20000</v>
      </c>
      <c r="T5" s="76">
        <v>20000</v>
      </c>
      <c r="U5" s="76">
        <v>20000</v>
      </c>
      <c r="V5" s="76">
        <v>20000</v>
      </c>
      <c r="W5" s="76">
        <v>20000</v>
      </c>
      <c r="X5" s="76">
        <v>20000</v>
      </c>
      <c r="Y5" s="76">
        <v>20000</v>
      </c>
    </row>
    <row r="6" spans="2:25" x14ac:dyDescent="0.25">
      <c r="B6" s="306" t="s">
        <v>1</v>
      </c>
      <c r="C6" s="306"/>
      <c r="D6" s="2">
        <v>7.1000000000000004E-3</v>
      </c>
      <c r="E6" s="1"/>
      <c r="F6" s="2">
        <v>7.1000000000000004E-3</v>
      </c>
      <c r="G6" s="2">
        <v>7.1000000000000004E-3</v>
      </c>
      <c r="H6" s="2">
        <v>7.1000000000000004E-3</v>
      </c>
      <c r="I6" s="2">
        <v>7.1000000000000004E-3</v>
      </c>
      <c r="J6" s="2">
        <v>7.1000000000000004E-3</v>
      </c>
      <c r="K6" s="2">
        <v>7.1000000000000004E-3</v>
      </c>
      <c r="L6" s="2">
        <v>7.1000000000000004E-3</v>
      </c>
      <c r="M6" s="2">
        <v>7.1000000000000004E-3</v>
      </c>
      <c r="N6" s="2">
        <v>7.1000000000000004E-3</v>
      </c>
      <c r="O6" s="2">
        <v>7.1000000000000004E-3</v>
      </c>
      <c r="P6" s="2">
        <v>7.1000000000000004E-3</v>
      </c>
      <c r="Q6" s="2">
        <v>7.1000000000000004E-3</v>
      </c>
      <c r="R6" s="2">
        <v>7.1000000000000004E-3</v>
      </c>
      <c r="S6" s="2">
        <v>7.1000000000000004E-3</v>
      </c>
      <c r="T6" s="2">
        <v>7.1000000000000004E-3</v>
      </c>
      <c r="U6" s="2">
        <v>7.1000000000000004E-3</v>
      </c>
      <c r="V6" s="2">
        <v>7.1000000000000004E-3</v>
      </c>
      <c r="W6" s="2">
        <v>7.1000000000000004E-3</v>
      </c>
      <c r="X6" s="2">
        <v>7.1000000000000004E-3</v>
      </c>
      <c r="Y6" s="2">
        <v>7.1000000000000004E-3</v>
      </c>
    </row>
    <row r="7" spans="2:25" x14ac:dyDescent="0.25">
      <c r="B7" s="306" t="s">
        <v>2</v>
      </c>
      <c r="C7" s="306"/>
      <c r="D7" s="78">
        <f>D5-(D6*D5)</f>
        <v>19858</v>
      </c>
      <c r="E7" s="1"/>
      <c r="F7" s="76">
        <f t="shared" ref="F7:Y7" si="0">F5-(F6*F5)</f>
        <v>19858</v>
      </c>
      <c r="G7" s="76">
        <f t="shared" si="0"/>
        <v>19858</v>
      </c>
      <c r="H7" s="76">
        <f t="shared" si="0"/>
        <v>19858</v>
      </c>
      <c r="I7" s="76">
        <f t="shared" si="0"/>
        <v>19858</v>
      </c>
      <c r="J7" s="76">
        <f t="shared" si="0"/>
        <v>19858</v>
      </c>
      <c r="K7" s="76">
        <f t="shared" si="0"/>
        <v>19858</v>
      </c>
      <c r="L7" s="76">
        <f t="shared" si="0"/>
        <v>19858</v>
      </c>
      <c r="M7" s="76">
        <f t="shared" si="0"/>
        <v>19858</v>
      </c>
      <c r="N7" s="76">
        <f t="shared" si="0"/>
        <v>19858</v>
      </c>
      <c r="O7" s="76">
        <f t="shared" si="0"/>
        <v>19858</v>
      </c>
      <c r="P7" s="76">
        <f t="shared" si="0"/>
        <v>19858</v>
      </c>
      <c r="Q7" s="76">
        <f t="shared" si="0"/>
        <v>19858</v>
      </c>
      <c r="R7" s="76">
        <f t="shared" si="0"/>
        <v>19858</v>
      </c>
      <c r="S7" s="76">
        <f t="shared" si="0"/>
        <v>19858</v>
      </c>
      <c r="T7" s="76">
        <f t="shared" si="0"/>
        <v>19858</v>
      </c>
      <c r="U7" s="76">
        <f t="shared" si="0"/>
        <v>19858</v>
      </c>
      <c r="V7" s="76">
        <f t="shared" si="0"/>
        <v>19858</v>
      </c>
      <c r="W7" s="76">
        <f t="shared" si="0"/>
        <v>19858</v>
      </c>
      <c r="X7" s="76">
        <f t="shared" si="0"/>
        <v>19858</v>
      </c>
      <c r="Y7" s="76">
        <f t="shared" si="0"/>
        <v>19858</v>
      </c>
    </row>
    <row r="8" spans="2:25" x14ac:dyDescent="0.25">
      <c r="B8" s="306" t="s">
        <v>3</v>
      </c>
      <c r="C8" s="306"/>
      <c r="D8" s="1">
        <v>24</v>
      </c>
      <c r="E8" s="1"/>
      <c r="F8" s="1">
        <v>24</v>
      </c>
      <c r="G8" s="1">
        <v>24</v>
      </c>
      <c r="H8" s="1">
        <v>24</v>
      </c>
      <c r="I8" s="1">
        <v>24</v>
      </c>
      <c r="J8" s="1">
        <v>24</v>
      </c>
      <c r="K8" s="1">
        <v>24</v>
      </c>
      <c r="L8" s="1">
        <v>24</v>
      </c>
      <c r="M8" s="1">
        <v>24</v>
      </c>
      <c r="N8" s="1">
        <v>24</v>
      </c>
      <c r="O8" s="1">
        <v>24</v>
      </c>
      <c r="P8" s="1">
        <v>24</v>
      </c>
      <c r="Q8" s="1">
        <v>24</v>
      </c>
      <c r="R8" s="1">
        <v>24</v>
      </c>
      <c r="S8" s="1">
        <v>24</v>
      </c>
      <c r="T8" s="1">
        <v>24</v>
      </c>
      <c r="U8" s="1">
        <v>24</v>
      </c>
      <c r="V8" s="1">
        <v>24</v>
      </c>
      <c r="W8" s="1">
        <v>24</v>
      </c>
      <c r="X8" s="1">
        <v>24</v>
      </c>
      <c r="Y8" s="1">
        <v>24</v>
      </c>
    </row>
    <row r="9" spans="2:25" x14ac:dyDescent="0.25">
      <c r="B9" s="306" t="s">
        <v>4</v>
      </c>
      <c r="C9" s="306"/>
      <c r="D9" s="1">
        <v>365</v>
      </c>
      <c r="E9" s="1"/>
      <c r="F9" s="1">
        <v>365</v>
      </c>
      <c r="G9" s="1">
        <v>365</v>
      </c>
      <c r="H9" s="1">
        <v>365</v>
      </c>
      <c r="I9" s="1">
        <v>365</v>
      </c>
      <c r="J9" s="1">
        <v>365</v>
      </c>
      <c r="K9" s="1">
        <v>365</v>
      </c>
      <c r="L9" s="1">
        <v>365</v>
      </c>
      <c r="M9" s="1">
        <v>365</v>
      </c>
      <c r="N9" s="1">
        <v>365</v>
      </c>
      <c r="O9" s="1">
        <v>365</v>
      </c>
      <c r="P9" s="1">
        <v>365</v>
      </c>
      <c r="Q9" s="1">
        <v>365</v>
      </c>
      <c r="R9" s="1">
        <v>365</v>
      </c>
      <c r="S9" s="1">
        <v>365</v>
      </c>
      <c r="T9" s="1">
        <v>365</v>
      </c>
      <c r="U9" s="1">
        <v>365</v>
      </c>
      <c r="V9" s="1">
        <v>365</v>
      </c>
      <c r="W9" s="1">
        <v>365</v>
      </c>
      <c r="X9" s="1">
        <v>365</v>
      </c>
      <c r="Y9" s="1">
        <v>365</v>
      </c>
    </row>
    <row r="10" spans="2:25" x14ac:dyDescent="0.25">
      <c r="B10" s="306" t="s">
        <v>5</v>
      </c>
      <c r="C10" s="306"/>
      <c r="D10" s="3">
        <v>1</v>
      </c>
      <c r="E10" s="1"/>
      <c r="F10" s="3">
        <v>1</v>
      </c>
      <c r="G10" s="3">
        <v>1</v>
      </c>
      <c r="H10" s="3">
        <v>1</v>
      </c>
      <c r="I10" s="3">
        <v>1</v>
      </c>
      <c r="J10" s="3">
        <v>1</v>
      </c>
      <c r="K10" s="3">
        <v>1</v>
      </c>
      <c r="L10" s="3">
        <v>1</v>
      </c>
      <c r="M10" s="3">
        <v>1</v>
      </c>
      <c r="N10" s="3">
        <v>1</v>
      </c>
      <c r="O10" s="3">
        <v>1</v>
      </c>
      <c r="P10" s="3">
        <v>1</v>
      </c>
      <c r="Q10" s="3">
        <v>1</v>
      </c>
      <c r="R10" s="3">
        <v>1</v>
      </c>
      <c r="S10" s="3">
        <v>1</v>
      </c>
      <c r="T10" s="3">
        <v>1</v>
      </c>
      <c r="U10" s="3">
        <v>1</v>
      </c>
      <c r="V10" s="3">
        <v>1</v>
      </c>
      <c r="W10" s="3">
        <v>1</v>
      </c>
      <c r="X10" s="3">
        <v>1</v>
      </c>
      <c r="Y10" s="3">
        <v>1</v>
      </c>
    </row>
    <row r="11" spans="2:25" x14ac:dyDescent="0.25">
      <c r="B11" s="306" t="s">
        <v>6</v>
      </c>
      <c r="C11" s="306"/>
      <c r="D11" s="78">
        <v>4100</v>
      </c>
      <c r="E11" s="1"/>
      <c r="F11" s="76">
        <v>4100</v>
      </c>
      <c r="G11" s="76">
        <v>4100</v>
      </c>
      <c r="H11" s="76">
        <v>4100</v>
      </c>
      <c r="I11" s="76">
        <v>4100</v>
      </c>
      <c r="J11" s="76">
        <v>4100</v>
      </c>
      <c r="K11" s="76">
        <v>4100</v>
      </c>
      <c r="L11" s="76">
        <v>4100</v>
      </c>
      <c r="M11" s="76">
        <v>4100</v>
      </c>
      <c r="N11" s="76">
        <v>4100</v>
      </c>
      <c r="O11" s="76">
        <v>4100</v>
      </c>
      <c r="P11" s="76">
        <v>4100</v>
      </c>
      <c r="Q11" s="76">
        <v>4100</v>
      </c>
      <c r="R11" s="76">
        <v>4100</v>
      </c>
      <c r="S11" s="76">
        <v>4100</v>
      </c>
      <c r="T11" s="76">
        <v>4100</v>
      </c>
      <c r="U11" s="76">
        <v>4100</v>
      </c>
      <c r="V11" s="76">
        <v>4100</v>
      </c>
      <c r="W11" s="76">
        <v>4100</v>
      </c>
      <c r="X11" s="76">
        <v>4100</v>
      </c>
      <c r="Y11" s="76">
        <v>4100</v>
      </c>
    </row>
    <row r="12" spans="2:25" x14ac:dyDescent="0.25">
      <c r="B12" s="306" t="s">
        <v>7</v>
      </c>
      <c r="C12" s="306"/>
      <c r="D12" s="1"/>
      <c r="E12" s="1"/>
      <c r="F12" s="76">
        <v>2720</v>
      </c>
      <c r="G12" s="76">
        <f t="shared" ref="G12:V12" si="1">(F12+G11)</f>
        <v>6820</v>
      </c>
      <c r="H12" s="76">
        <f t="shared" si="1"/>
        <v>10920</v>
      </c>
      <c r="I12" s="76">
        <f t="shared" si="1"/>
        <v>15020</v>
      </c>
      <c r="J12" s="76">
        <f t="shared" si="1"/>
        <v>19120</v>
      </c>
      <c r="K12" s="76">
        <f t="shared" si="1"/>
        <v>23220</v>
      </c>
      <c r="L12" s="76">
        <f t="shared" si="1"/>
        <v>27320</v>
      </c>
      <c r="M12" s="76">
        <f t="shared" si="1"/>
        <v>31420</v>
      </c>
      <c r="N12" s="76">
        <f t="shared" si="1"/>
        <v>35520</v>
      </c>
      <c r="O12" s="76">
        <f t="shared" si="1"/>
        <v>39620</v>
      </c>
      <c r="P12" s="76">
        <f t="shared" si="1"/>
        <v>43720</v>
      </c>
      <c r="Q12" s="76">
        <f t="shared" si="1"/>
        <v>47820</v>
      </c>
      <c r="R12" s="76">
        <f t="shared" si="1"/>
        <v>51920</v>
      </c>
      <c r="S12" s="76">
        <f t="shared" si="1"/>
        <v>56020</v>
      </c>
      <c r="T12" s="76">
        <f t="shared" si="1"/>
        <v>60120</v>
      </c>
      <c r="U12" s="76">
        <f t="shared" si="1"/>
        <v>64220</v>
      </c>
      <c r="V12" s="76">
        <f t="shared" si="1"/>
        <v>68320</v>
      </c>
      <c r="W12" s="76">
        <f t="shared" ref="W12" si="2">(V12+W11)</f>
        <v>72420</v>
      </c>
      <c r="X12" s="76">
        <f t="shared" ref="X12" si="3">(W12+X11)</f>
        <v>76520</v>
      </c>
      <c r="Y12" s="76">
        <f t="shared" ref="Y12" si="4">(X12+Y11)</f>
        <v>80620</v>
      </c>
    </row>
    <row r="13" spans="2:25" x14ac:dyDescent="0.25">
      <c r="B13" s="75"/>
      <c r="C13" s="75"/>
      <c r="D13" s="1"/>
      <c r="E13" s="1"/>
      <c r="F13" s="76"/>
      <c r="G13" s="76"/>
      <c r="H13" s="76"/>
      <c r="I13" s="76"/>
      <c r="J13" s="77"/>
      <c r="K13" s="77"/>
      <c r="L13" s="77"/>
      <c r="M13" s="77"/>
      <c r="N13" s="77"/>
      <c r="O13" s="77"/>
      <c r="P13" s="77"/>
      <c r="Q13" s="77"/>
      <c r="R13" s="77"/>
      <c r="S13" s="77"/>
      <c r="T13" s="77"/>
      <c r="U13" s="77"/>
      <c r="V13" s="77"/>
      <c r="W13" s="77"/>
      <c r="X13" s="77"/>
      <c r="Y13" s="77"/>
    </row>
    <row r="14" spans="2:25" x14ac:dyDescent="0.25">
      <c r="B14" s="306" t="s">
        <v>323</v>
      </c>
      <c r="C14" s="306"/>
      <c r="D14" s="78">
        <f>(D5*D11)/1000</f>
        <v>82000</v>
      </c>
      <c r="E14" s="1"/>
      <c r="F14" s="76">
        <f t="shared" ref="F14:Y14" si="5">(F5*F11)/1000</f>
        <v>82000</v>
      </c>
      <c r="G14" s="76">
        <f t="shared" si="5"/>
        <v>82000</v>
      </c>
      <c r="H14" s="76">
        <f t="shared" si="5"/>
        <v>82000</v>
      </c>
      <c r="I14" s="76">
        <f t="shared" si="5"/>
        <v>82000</v>
      </c>
      <c r="J14" s="76">
        <f t="shared" si="5"/>
        <v>82000</v>
      </c>
      <c r="K14" s="76">
        <f t="shared" si="5"/>
        <v>82000</v>
      </c>
      <c r="L14" s="76">
        <f t="shared" si="5"/>
        <v>82000</v>
      </c>
      <c r="M14" s="76">
        <f t="shared" si="5"/>
        <v>82000</v>
      </c>
      <c r="N14" s="76">
        <f t="shared" si="5"/>
        <v>82000</v>
      </c>
      <c r="O14" s="76">
        <f t="shared" si="5"/>
        <v>82000</v>
      </c>
      <c r="P14" s="76">
        <f t="shared" si="5"/>
        <v>82000</v>
      </c>
      <c r="Q14" s="76">
        <f t="shared" si="5"/>
        <v>82000</v>
      </c>
      <c r="R14" s="76">
        <f t="shared" si="5"/>
        <v>82000</v>
      </c>
      <c r="S14" s="76">
        <f t="shared" si="5"/>
        <v>82000</v>
      </c>
      <c r="T14" s="76">
        <f t="shared" si="5"/>
        <v>82000</v>
      </c>
      <c r="U14" s="76">
        <f t="shared" si="5"/>
        <v>82000</v>
      </c>
      <c r="V14" s="76">
        <f t="shared" si="5"/>
        <v>82000</v>
      </c>
      <c r="W14" s="76">
        <f t="shared" si="5"/>
        <v>82000</v>
      </c>
      <c r="X14" s="76">
        <f t="shared" si="5"/>
        <v>82000</v>
      </c>
      <c r="Y14" s="76">
        <f t="shared" si="5"/>
        <v>82000</v>
      </c>
    </row>
    <row r="15" spans="2:25" x14ac:dyDescent="0.25">
      <c r="B15" s="306" t="s">
        <v>324</v>
      </c>
      <c r="C15" s="306"/>
      <c r="D15" s="78">
        <f>(D14*0.0071)</f>
        <v>582.20000000000005</v>
      </c>
      <c r="E15" s="1"/>
      <c r="F15" s="76">
        <f t="shared" ref="F15:Y15" si="6">(F14*0.0071)</f>
        <v>582.20000000000005</v>
      </c>
      <c r="G15" s="76">
        <f t="shared" si="6"/>
        <v>582.20000000000005</v>
      </c>
      <c r="H15" s="76">
        <f t="shared" si="6"/>
        <v>582.20000000000005</v>
      </c>
      <c r="I15" s="76">
        <f t="shared" si="6"/>
        <v>582.20000000000005</v>
      </c>
      <c r="J15" s="76">
        <f t="shared" si="6"/>
        <v>582.20000000000005</v>
      </c>
      <c r="K15" s="76">
        <f t="shared" si="6"/>
        <v>582.20000000000005</v>
      </c>
      <c r="L15" s="76">
        <f t="shared" si="6"/>
        <v>582.20000000000005</v>
      </c>
      <c r="M15" s="76">
        <f t="shared" si="6"/>
        <v>582.20000000000005</v>
      </c>
      <c r="N15" s="76">
        <f t="shared" si="6"/>
        <v>582.20000000000005</v>
      </c>
      <c r="O15" s="76">
        <f t="shared" si="6"/>
        <v>582.20000000000005</v>
      </c>
      <c r="P15" s="76">
        <f t="shared" si="6"/>
        <v>582.20000000000005</v>
      </c>
      <c r="Q15" s="76">
        <f t="shared" si="6"/>
        <v>582.20000000000005</v>
      </c>
      <c r="R15" s="76">
        <f t="shared" si="6"/>
        <v>582.20000000000005</v>
      </c>
      <c r="S15" s="76">
        <f t="shared" si="6"/>
        <v>582.20000000000005</v>
      </c>
      <c r="T15" s="76">
        <f t="shared" si="6"/>
        <v>582.20000000000005</v>
      </c>
      <c r="U15" s="76">
        <f t="shared" si="6"/>
        <v>582.20000000000005</v>
      </c>
      <c r="V15" s="76">
        <f t="shared" si="6"/>
        <v>582.20000000000005</v>
      </c>
      <c r="W15" s="76">
        <f t="shared" si="6"/>
        <v>582.20000000000005</v>
      </c>
      <c r="X15" s="76">
        <f t="shared" si="6"/>
        <v>582.20000000000005</v>
      </c>
      <c r="Y15" s="76">
        <f t="shared" si="6"/>
        <v>582.20000000000005</v>
      </c>
    </row>
    <row r="16" spans="2:25" x14ac:dyDescent="0.25">
      <c r="B16" s="306" t="s">
        <v>8</v>
      </c>
      <c r="C16" s="306"/>
      <c r="D16" s="78">
        <f>(D14-D15)</f>
        <v>81417.8</v>
      </c>
      <c r="E16" s="4"/>
      <c r="F16" s="76">
        <f t="shared" ref="F16:Y16" si="7">(F14-F15)</f>
        <v>81417.8</v>
      </c>
      <c r="G16" s="76">
        <f t="shared" si="7"/>
        <v>81417.8</v>
      </c>
      <c r="H16" s="76">
        <f t="shared" si="7"/>
        <v>81417.8</v>
      </c>
      <c r="I16" s="76">
        <f t="shared" si="7"/>
        <v>81417.8</v>
      </c>
      <c r="J16" s="76">
        <f t="shared" si="7"/>
        <v>81417.8</v>
      </c>
      <c r="K16" s="76">
        <f t="shared" si="7"/>
        <v>81417.8</v>
      </c>
      <c r="L16" s="76">
        <f t="shared" si="7"/>
        <v>81417.8</v>
      </c>
      <c r="M16" s="76">
        <f t="shared" si="7"/>
        <v>81417.8</v>
      </c>
      <c r="N16" s="76">
        <f t="shared" si="7"/>
        <v>81417.8</v>
      </c>
      <c r="O16" s="76">
        <f t="shared" si="7"/>
        <v>81417.8</v>
      </c>
      <c r="P16" s="76">
        <f t="shared" si="7"/>
        <v>81417.8</v>
      </c>
      <c r="Q16" s="76">
        <f t="shared" si="7"/>
        <v>81417.8</v>
      </c>
      <c r="R16" s="76">
        <f t="shared" si="7"/>
        <v>81417.8</v>
      </c>
      <c r="S16" s="76">
        <f t="shared" si="7"/>
        <v>81417.8</v>
      </c>
      <c r="T16" s="76">
        <f t="shared" si="7"/>
        <v>81417.8</v>
      </c>
      <c r="U16" s="76">
        <f t="shared" si="7"/>
        <v>81417.8</v>
      </c>
      <c r="V16" s="76">
        <f t="shared" si="7"/>
        <v>81417.8</v>
      </c>
      <c r="W16" s="76">
        <f t="shared" si="7"/>
        <v>81417.8</v>
      </c>
      <c r="X16" s="76">
        <f t="shared" si="7"/>
        <v>81417.8</v>
      </c>
      <c r="Y16" s="76">
        <f t="shared" si="7"/>
        <v>81417.8</v>
      </c>
    </row>
    <row r="17" spans="1:25" x14ac:dyDescent="0.25">
      <c r="B17" s="75"/>
      <c r="C17" s="75"/>
      <c r="D17" s="1"/>
      <c r="E17" s="1"/>
      <c r="F17" s="76"/>
      <c r="G17" s="76"/>
      <c r="H17" s="76"/>
      <c r="I17" s="76"/>
      <c r="J17" s="77"/>
      <c r="K17" s="77"/>
      <c r="L17" s="77"/>
      <c r="M17" s="77"/>
      <c r="N17" s="77"/>
      <c r="O17" s="77"/>
      <c r="P17" s="77"/>
      <c r="Q17" s="77"/>
      <c r="R17" s="77"/>
      <c r="S17" s="77"/>
      <c r="T17" s="77"/>
      <c r="U17" s="77"/>
      <c r="V17" s="77"/>
      <c r="W17" s="77"/>
      <c r="X17" s="77"/>
      <c r="Y17" s="77"/>
    </row>
    <row r="18" spans="1:25" x14ac:dyDescent="0.25">
      <c r="B18" s="306" t="s">
        <v>9</v>
      </c>
      <c r="C18" s="306"/>
      <c r="D18" s="1"/>
      <c r="E18" s="1"/>
      <c r="F18" s="76">
        <f t="shared" ref="F18:Y18" si="8">F16</f>
        <v>81417.8</v>
      </c>
      <c r="G18" s="76">
        <f t="shared" si="8"/>
        <v>81417.8</v>
      </c>
      <c r="H18" s="76">
        <f t="shared" si="8"/>
        <v>81417.8</v>
      </c>
      <c r="I18" s="76">
        <f t="shared" si="8"/>
        <v>81417.8</v>
      </c>
      <c r="J18" s="76">
        <f t="shared" si="8"/>
        <v>81417.8</v>
      </c>
      <c r="K18" s="76">
        <f t="shared" si="8"/>
        <v>81417.8</v>
      </c>
      <c r="L18" s="76">
        <f t="shared" si="8"/>
        <v>81417.8</v>
      </c>
      <c r="M18" s="76">
        <f t="shared" si="8"/>
        <v>81417.8</v>
      </c>
      <c r="N18" s="76">
        <f t="shared" si="8"/>
        <v>81417.8</v>
      </c>
      <c r="O18" s="76">
        <f t="shared" si="8"/>
        <v>81417.8</v>
      </c>
      <c r="P18" s="76">
        <f t="shared" si="8"/>
        <v>81417.8</v>
      </c>
      <c r="Q18" s="76">
        <f t="shared" si="8"/>
        <v>81417.8</v>
      </c>
      <c r="R18" s="76">
        <f t="shared" si="8"/>
        <v>81417.8</v>
      </c>
      <c r="S18" s="76">
        <f t="shared" si="8"/>
        <v>81417.8</v>
      </c>
      <c r="T18" s="76">
        <f t="shared" si="8"/>
        <v>81417.8</v>
      </c>
      <c r="U18" s="76">
        <f t="shared" si="8"/>
        <v>81417.8</v>
      </c>
      <c r="V18" s="76">
        <f t="shared" si="8"/>
        <v>81417.8</v>
      </c>
      <c r="W18" s="76">
        <f t="shared" si="8"/>
        <v>81417.8</v>
      </c>
      <c r="X18" s="76">
        <f t="shared" si="8"/>
        <v>81417.8</v>
      </c>
      <c r="Y18" s="76">
        <f t="shared" si="8"/>
        <v>81417.8</v>
      </c>
    </row>
    <row r="19" spans="1:25" x14ac:dyDescent="0.25">
      <c r="B19" s="306" t="s">
        <v>41</v>
      </c>
      <c r="C19" s="306"/>
      <c r="D19" s="5"/>
      <c r="E19" s="5"/>
      <c r="F19" s="79"/>
      <c r="G19" s="79">
        <f t="shared" ref="G19:Y19" si="9">G18*1000</f>
        <v>81417800</v>
      </c>
      <c r="H19" s="79">
        <f t="shared" si="9"/>
        <v>81417800</v>
      </c>
      <c r="I19" s="79">
        <f t="shared" si="9"/>
        <v>81417800</v>
      </c>
      <c r="J19" s="79">
        <f t="shared" si="9"/>
        <v>81417800</v>
      </c>
      <c r="K19" s="79">
        <f t="shared" si="9"/>
        <v>81417800</v>
      </c>
      <c r="L19" s="79">
        <f t="shared" si="9"/>
        <v>81417800</v>
      </c>
      <c r="M19" s="79">
        <f t="shared" si="9"/>
        <v>81417800</v>
      </c>
      <c r="N19" s="79">
        <f t="shared" si="9"/>
        <v>81417800</v>
      </c>
      <c r="O19" s="79">
        <f t="shared" si="9"/>
        <v>81417800</v>
      </c>
      <c r="P19" s="79">
        <f t="shared" si="9"/>
        <v>81417800</v>
      </c>
      <c r="Q19" s="79">
        <f t="shared" si="9"/>
        <v>81417800</v>
      </c>
      <c r="R19" s="79">
        <f t="shared" si="9"/>
        <v>81417800</v>
      </c>
      <c r="S19" s="79">
        <f t="shared" si="9"/>
        <v>81417800</v>
      </c>
      <c r="T19" s="79">
        <f t="shared" si="9"/>
        <v>81417800</v>
      </c>
      <c r="U19" s="79">
        <f t="shared" si="9"/>
        <v>81417800</v>
      </c>
      <c r="V19" s="79">
        <f t="shared" si="9"/>
        <v>81417800</v>
      </c>
      <c r="W19" s="79">
        <f t="shared" si="9"/>
        <v>81417800</v>
      </c>
      <c r="X19" s="79">
        <f t="shared" si="9"/>
        <v>81417800</v>
      </c>
      <c r="Y19" s="79">
        <f t="shared" si="9"/>
        <v>81417800</v>
      </c>
    </row>
    <row r="22" spans="1:25" x14ac:dyDescent="0.25">
      <c r="B22" s="314" t="s">
        <v>182</v>
      </c>
      <c r="C22" s="314"/>
      <c r="D22" s="314"/>
      <c r="E22" s="314"/>
      <c r="F22" s="314"/>
      <c r="G22" s="314"/>
    </row>
    <row r="23" spans="1:25" x14ac:dyDescent="0.25">
      <c r="B23" s="314"/>
      <c r="C23" s="314"/>
      <c r="D23" s="314"/>
      <c r="E23" s="314"/>
      <c r="F23" s="314"/>
      <c r="G23" s="314"/>
    </row>
    <row r="24" spans="1:25" ht="15.75" thickBot="1" x14ac:dyDescent="0.3"/>
    <row r="25" spans="1:25" x14ac:dyDescent="0.25">
      <c r="A25" s="318"/>
      <c r="B25" s="320" t="s">
        <v>10</v>
      </c>
      <c r="C25" s="322" t="s">
        <v>11</v>
      </c>
      <c r="D25" s="322" t="s">
        <v>12</v>
      </c>
      <c r="E25" s="322" t="s">
        <v>13</v>
      </c>
      <c r="F25" s="322" t="s">
        <v>42</v>
      </c>
      <c r="G25" s="326"/>
      <c r="O25" s="56"/>
      <c r="P25" s="27"/>
    </row>
    <row r="26" spans="1:25" x14ac:dyDescent="0.25">
      <c r="A26" s="318"/>
      <c r="B26" s="321"/>
      <c r="C26" s="306"/>
      <c r="D26" s="306"/>
      <c r="E26" s="306"/>
      <c r="F26" s="306"/>
      <c r="G26" s="327"/>
      <c r="O26" s="27"/>
      <c r="P26" s="27"/>
    </row>
    <row r="27" spans="1:25" x14ac:dyDescent="0.25">
      <c r="A27" s="26">
        <v>1</v>
      </c>
      <c r="B27" s="80">
        <v>2016</v>
      </c>
      <c r="C27" s="5">
        <v>8.9793000000000003</v>
      </c>
      <c r="D27" s="6">
        <v>1.03</v>
      </c>
      <c r="E27" s="6">
        <f>(C27/100)</f>
        <v>8.9792999999999998E-2</v>
      </c>
      <c r="F27" s="316">
        <f>$G$19*E27</f>
        <v>7310748.5153999999</v>
      </c>
      <c r="G27" s="317"/>
      <c r="J27" s="85">
        <f>F27/12</f>
        <v>609229.04295000003</v>
      </c>
    </row>
    <row r="28" spans="1:25" x14ac:dyDescent="0.25">
      <c r="A28" s="26">
        <v>2</v>
      </c>
      <c r="B28" s="80">
        <v>2017</v>
      </c>
      <c r="C28" s="5"/>
      <c r="D28" s="6">
        <f>(D27*D27)</f>
        <v>1.0609</v>
      </c>
      <c r="E28" s="6">
        <f>(E27*D28)</f>
        <v>9.5261393699999988E-2</v>
      </c>
      <c r="F28" s="316">
        <f t="shared" ref="F28:F46" si="10">$G$19*E28</f>
        <v>7755973.0999878589</v>
      </c>
      <c r="G28" s="317"/>
      <c r="H28" s="21"/>
      <c r="J28" s="85">
        <f>J27*6</f>
        <v>3655374.2577</v>
      </c>
    </row>
    <row r="29" spans="1:25" x14ac:dyDescent="0.25">
      <c r="A29" s="26">
        <v>3</v>
      </c>
      <c r="B29" s="80">
        <v>2018</v>
      </c>
      <c r="C29" s="5"/>
      <c r="D29" s="6">
        <f>(D28*D27)</f>
        <v>1.092727</v>
      </c>
      <c r="E29" s="6">
        <f>(E28*D29)</f>
        <v>0.10409469695361989</v>
      </c>
      <c r="F29" s="316">
        <f t="shared" si="10"/>
        <v>8475161.2176304329</v>
      </c>
      <c r="G29" s="317"/>
      <c r="H29" s="21"/>
      <c r="I29" s="45"/>
    </row>
    <row r="30" spans="1:25" x14ac:dyDescent="0.25">
      <c r="A30" s="26">
        <v>4</v>
      </c>
      <c r="B30" s="80">
        <v>2019</v>
      </c>
      <c r="C30" s="5"/>
      <c r="D30" s="6">
        <f>(D29*D27)</f>
        <v>1.1255088100000001</v>
      </c>
      <c r="E30" s="6">
        <f>(E29*D30)</f>
        <v>0.11715949849557937</v>
      </c>
      <c r="F30" s="316">
        <f t="shared" si="10"/>
        <v>9538868.6166133825</v>
      </c>
      <c r="G30" s="317"/>
      <c r="H30" s="21"/>
      <c r="I30" s="45"/>
    </row>
    <row r="31" spans="1:25" x14ac:dyDescent="0.25">
      <c r="A31" s="26">
        <v>5</v>
      </c>
      <c r="B31" s="80">
        <v>2020</v>
      </c>
      <c r="C31" s="5"/>
      <c r="D31" s="6">
        <f>(D30*D27)</f>
        <v>1.1592740743000001</v>
      </c>
      <c r="E31" s="6">
        <f>(E30*D31)</f>
        <v>0.13581996916391503</v>
      </c>
      <c r="F31" s="316">
        <f t="shared" si="10"/>
        <v>11058163.085393801</v>
      </c>
      <c r="G31" s="317"/>
      <c r="H31" s="21"/>
      <c r="I31" s="45"/>
    </row>
    <row r="32" spans="1:25" x14ac:dyDescent="0.25">
      <c r="A32" s="26">
        <v>6</v>
      </c>
      <c r="B32" s="80">
        <v>2021</v>
      </c>
      <c r="C32" s="5"/>
      <c r="D32" s="6">
        <f>(D31*D27)</f>
        <v>1.1940522965290001</v>
      </c>
      <c r="E32" s="6">
        <f>(E31*D32)</f>
        <v>0.16217614609467074</v>
      </c>
      <c r="F32" s="316">
        <f t="shared" si="10"/>
        <v>13204025.027506683</v>
      </c>
      <c r="G32" s="317"/>
      <c r="H32" s="21"/>
      <c r="I32" s="45"/>
    </row>
    <row r="33" spans="1:29" x14ac:dyDescent="0.25">
      <c r="A33" s="26">
        <v>7</v>
      </c>
      <c r="B33" s="80">
        <v>2022</v>
      </c>
      <c r="C33" s="5"/>
      <c r="D33" s="6">
        <f>D32*$D$27</f>
        <v>1.2298738654248702</v>
      </c>
      <c r="E33" s="276">
        <f>D33*E32</f>
        <v>0.19945620367716116</v>
      </c>
      <c r="F33" s="316">
        <f t="shared" si="10"/>
        <v>16239285.299746372</v>
      </c>
      <c r="G33" s="317"/>
      <c r="H33" s="21"/>
      <c r="I33" s="45"/>
    </row>
    <row r="34" spans="1:29" x14ac:dyDescent="0.25">
      <c r="A34" s="26">
        <v>8</v>
      </c>
      <c r="B34" s="80">
        <v>2023</v>
      </c>
      <c r="C34" s="5"/>
      <c r="D34" s="6">
        <f>D33*$D$27</f>
        <v>1.2667700813876164</v>
      </c>
      <c r="E34" s="276">
        <f t="shared" ref="E34" si="11">D34*E33</f>
        <v>0.25266515136538242</v>
      </c>
      <c r="F34" s="316">
        <f t="shared" si="10"/>
        <v>20571440.760836434</v>
      </c>
      <c r="G34" s="317"/>
      <c r="H34" s="21"/>
      <c r="I34" s="45"/>
    </row>
    <row r="35" spans="1:29" x14ac:dyDescent="0.25">
      <c r="A35" s="26">
        <v>9</v>
      </c>
      <c r="B35" s="80">
        <v>2024</v>
      </c>
      <c r="C35" s="5"/>
      <c r="D35" s="6">
        <f t="shared" ref="D35:D36" si="12">D34*$D$27</f>
        <v>1.3047731838292449</v>
      </c>
      <c r="E35" s="276">
        <f>D35*E34</f>
        <v>0.3296707139897081</v>
      </c>
      <c r="F35" s="316">
        <f t="shared" si="10"/>
        <v>26841064.257471256</v>
      </c>
      <c r="G35" s="317"/>
      <c r="H35" s="21"/>
      <c r="I35" s="45"/>
    </row>
    <row r="36" spans="1:29" x14ac:dyDescent="0.25">
      <c r="A36" s="26">
        <v>10</v>
      </c>
      <c r="B36" s="80">
        <v>2025</v>
      </c>
      <c r="C36" s="5"/>
      <c r="D36" s="6">
        <f t="shared" si="12"/>
        <v>1.3439163793441222</v>
      </c>
      <c r="E36" s="276">
        <f>D36*E35</f>
        <v>0.44304987232084014</v>
      </c>
      <c r="F36" s="316">
        <f t="shared" si="10"/>
        <v>36072145.894643702</v>
      </c>
      <c r="G36" s="317"/>
      <c r="H36" s="21"/>
      <c r="I36" s="45"/>
    </row>
    <row r="37" spans="1:29" x14ac:dyDescent="0.25">
      <c r="A37" s="26">
        <v>11</v>
      </c>
      <c r="B37" s="80">
        <v>2026</v>
      </c>
      <c r="C37" s="5"/>
      <c r="D37" s="6">
        <f t="shared" ref="D37:D42" si="13">D36*$D$27</f>
        <v>1.3842338707244459</v>
      </c>
      <c r="E37" s="276">
        <f t="shared" ref="E37:E46" si="14">D37*E36</f>
        <v>0.61328463968664815</v>
      </c>
      <c r="F37" s="316">
        <f t="shared" si="10"/>
        <v>49932286.137079582</v>
      </c>
      <c r="G37" s="317"/>
      <c r="H37" s="21"/>
      <c r="I37" s="45"/>
    </row>
    <row r="38" spans="1:29" x14ac:dyDescent="0.25">
      <c r="A38" s="26">
        <v>12</v>
      </c>
      <c r="B38" s="80">
        <v>2027</v>
      </c>
      <c r="C38" s="5"/>
      <c r="D38" s="6">
        <f t="shared" si="13"/>
        <v>1.4257608868461793</v>
      </c>
      <c r="E38" s="276">
        <f t="shared" si="14"/>
        <v>0.87439725176877503</v>
      </c>
      <c r="F38" s="316">
        <f t="shared" si="10"/>
        <v>71191500.565059766</v>
      </c>
      <c r="G38" s="317"/>
      <c r="H38" s="21"/>
      <c r="I38" s="45"/>
    </row>
    <row r="39" spans="1:29" x14ac:dyDescent="0.25">
      <c r="A39" s="26">
        <v>13</v>
      </c>
      <c r="B39" s="80">
        <v>2028</v>
      </c>
      <c r="C39" s="5"/>
      <c r="D39" s="6">
        <f t="shared" si="13"/>
        <v>1.4685337134515648</v>
      </c>
      <c r="E39" s="276">
        <f t="shared" si="14"/>
        <v>1.2840818431718419</v>
      </c>
      <c r="F39" s="316">
        <f t="shared" si="10"/>
        <v>104547118.69099639</v>
      </c>
      <c r="G39" s="317"/>
      <c r="H39" s="21"/>
      <c r="I39" s="45"/>
    </row>
    <row r="40" spans="1:29" x14ac:dyDescent="0.25">
      <c r="A40" s="26">
        <v>14</v>
      </c>
      <c r="B40" s="80">
        <v>2029</v>
      </c>
      <c r="C40" s="5"/>
      <c r="D40" s="6">
        <f t="shared" si="13"/>
        <v>1.5125897248551119</v>
      </c>
      <c r="E40" s="276">
        <f t="shared" si="14"/>
        <v>1.9422890018547414</v>
      </c>
      <c r="F40" s="316">
        <f t="shared" si="10"/>
        <v>158136897.49520898</v>
      </c>
      <c r="G40" s="317"/>
      <c r="H40" s="21"/>
      <c r="I40" s="145" t="s">
        <v>336</v>
      </c>
      <c r="J40" s="211">
        <v>8.9792999999999998E-2</v>
      </c>
      <c r="K40" s="211">
        <v>9.5261393699999988E-2</v>
      </c>
      <c r="L40" s="211">
        <v>0.10409469695361989</v>
      </c>
      <c r="M40" s="211">
        <v>0.11715949849557937</v>
      </c>
      <c r="N40" s="211">
        <v>0.13581996916391503</v>
      </c>
      <c r="O40" s="211">
        <v>0.16217614609467074</v>
      </c>
      <c r="P40" s="211">
        <v>0.19945620367716116</v>
      </c>
      <c r="Q40" s="211">
        <v>0.25266515136538242</v>
      </c>
      <c r="R40" s="211">
        <v>0.3296707139897081</v>
      </c>
      <c r="S40" s="211">
        <v>0.44304987232084014</v>
      </c>
      <c r="T40" s="211">
        <v>0.61328463968664815</v>
      </c>
      <c r="U40" s="211">
        <v>0.87439725176877503</v>
      </c>
      <c r="V40" s="211">
        <v>1.2840818431718419</v>
      </c>
      <c r="W40" s="211">
        <v>1.9422890018547414</v>
      </c>
      <c r="X40" s="211">
        <v>3.0260229785117105</v>
      </c>
      <c r="Y40" s="211">
        <v>4.8558785584786364</v>
      </c>
      <c r="Z40" s="211">
        <v>4.8558785584786364</v>
      </c>
      <c r="AA40" s="211">
        <v>4.8558785584786364</v>
      </c>
      <c r="AB40" s="211">
        <v>4.8558785584786364</v>
      </c>
      <c r="AC40" s="211">
        <v>4.8558785584786364</v>
      </c>
    </row>
    <row r="41" spans="1:29" x14ac:dyDescent="0.25">
      <c r="A41" s="26">
        <v>15</v>
      </c>
      <c r="B41" s="80">
        <v>2030</v>
      </c>
      <c r="C41" s="5"/>
      <c r="D41" s="6">
        <f t="shared" si="13"/>
        <v>1.5579674166007653</v>
      </c>
      <c r="E41" s="276">
        <f t="shared" si="14"/>
        <v>3.0260229785117105</v>
      </c>
      <c r="F41" s="316">
        <f t="shared" si="10"/>
        <v>246372133.65987074</v>
      </c>
      <c r="G41" s="317"/>
      <c r="H41" s="21"/>
      <c r="I41" s="45"/>
    </row>
    <row r="42" spans="1:29" x14ac:dyDescent="0.25">
      <c r="A42" s="26">
        <v>16</v>
      </c>
      <c r="B42" s="80">
        <v>2031</v>
      </c>
      <c r="C42" s="5"/>
      <c r="D42" s="6">
        <f t="shared" si="13"/>
        <v>1.6047064390987884</v>
      </c>
      <c r="E42" s="276">
        <f t="shared" si="14"/>
        <v>4.8558785584786364</v>
      </c>
      <c r="F42" s="316">
        <f t="shared" si="10"/>
        <v>395354949.29850191</v>
      </c>
      <c r="G42" s="317"/>
      <c r="H42" s="21"/>
      <c r="I42" s="45"/>
    </row>
    <row r="43" spans="1:29" x14ac:dyDescent="0.25">
      <c r="A43" s="26">
        <v>17</v>
      </c>
      <c r="B43" s="80">
        <v>2032</v>
      </c>
      <c r="C43" s="5"/>
      <c r="D43" s="6">
        <v>1</v>
      </c>
      <c r="E43" s="276">
        <f t="shared" si="14"/>
        <v>4.8558785584786364</v>
      </c>
      <c r="F43" s="316">
        <f t="shared" si="10"/>
        <v>395354949.29850191</v>
      </c>
      <c r="G43" s="317"/>
      <c r="H43" s="21"/>
      <c r="I43" s="45"/>
    </row>
    <row r="44" spans="1:29" x14ac:dyDescent="0.25">
      <c r="A44" s="26">
        <v>18</v>
      </c>
      <c r="B44" s="80">
        <v>2033</v>
      </c>
      <c r="C44" s="5"/>
      <c r="D44" s="6">
        <v>1</v>
      </c>
      <c r="E44" s="276">
        <f t="shared" si="14"/>
        <v>4.8558785584786364</v>
      </c>
      <c r="F44" s="316">
        <f t="shared" si="10"/>
        <v>395354949.29850191</v>
      </c>
      <c r="G44" s="317"/>
      <c r="H44" s="21"/>
      <c r="I44" s="45"/>
    </row>
    <row r="45" spans="1:29" x14ac:dyDescent="0.25">
      <c r="A45" s="26">
        <v>19</v>
      </c>
      <c r="B45" s="80">
        <v>2034</v>
      </c>
      <c r="C45" s="5"/>
      <c r="D45" s="6">
        <v>1</v>
      </c>
      <c r="E45" s="276">
        <f t="shared" si="14"/>
        <v>4.8558785584786364</v>
      </c>
      <c r="F45" s="316">
        <f t="shared" si="10"/>
        <v>395354949.29850191</v>
      </c>
      <c r="G45" s="317"/>
      <c r="H45" s="21"/>
      <c r="I45" s="45"/>
    </row>
    <row r="46" spans="1:29" ht="15.75" thickBot="1" x14ac:dyDescent="0.3">
      <c r="A46" s="26">
        <v>20</v>
      </c>
      <c r="B46" s="81">
        <v>2035</v>
      </c>
      <c r="C46" s="54"/>
      <c r="D46" s="55">
        <v>1</v>
      </c>
      <c r="E46" s="277">
        <f t="shared" si="14"/>
        <v>4.8558785584786364</v>
      </c>
      <c r="F46" s="323">
        <f t="shared" si="10"/>
        <v>395354949.29850191</v>
      </c>
      <c r="G46" s="324"/>
      <c r="H46" s="21"/>
    </row>
    <row r="47" spans="1:29" x14ac:dyDescent="0.25">
      <c r="A47" s="73"/>
      <c r="B47" s="73"/>
      <c r="C47" s="25"/>
      <c r="D47" s="71"/>
      <c r="E47" s="71"/>
      <c r="F47" s="325"/>
      <c r="G47" s="325"/>
    </row>
    <row r="49" spans="1:16" x14ac:dyDescent="0.25">
      <c r="B49" s="315" t="s">
        <v>198</v>
      </c>
      <c r="C49" s="315"/>
      <c r="D49" s="315"/>
    </row>
    <row r="50" spans="1:16" x14ac:dyDescent="0.25">
      <c r="B50" s="315"/>
      <c r="C50" s="315"/>
      <c r="D50" s="315"/>
      <c r="E50" s="83" t="s">
        <v>16</v>
      </c>
      <c r="F50" s="5">
        <v>1.032</v>
      </c>
    </row>
    <row r="51" spans="1:16" ht="8.25" customHeight="1" x14ac:dyDescent="0.25"/>
    <row r="52" spans="1:16" ht="27" customHeight="1" x14ac:dyDescent="0.25">
      <c r="B52" s="82" t="s">
        <v>14</v>
      </c>
      <c r="C52" s="82" t="s">
        <v>15</v>
      </c>
      <c r="F52" s="306" t="s">
        <v>14</v>
      </c>
      <c r="G52" s="312" t="s">
        <v>199</v>
      </c>
      <c r="H52" s="312" t="s">
        <v>200</v>
      </c>
      <c r="K52" s="306" t="s">
        <v>14</v>
      </c>
      <c r="L52" s="306" t="s">
        <v>17</v>
      </c>
      <c r="M52" s="306"/>
      <c r="N52" s="306" t="s">
        <v>264</v>
      </c>
      <c r="O52" s="306"/>
      <c r="P52" s="306" t="s">
        <v>18</v>
      </c>
    </row>
    <row r="53" spans="1:16" ht="26.25" customHeight="1" x14ac:dyDescent="0.25">
      <c r="A53" s="26">
        <v>1</v>
      </c>
      <c r="B53" s="82">
        <v>2016</v>
      </c>
      <c r="C53" s="9">
        <v>19.84</v>
      </c>
      <c r="F53" s="306"/>
      <c r="G53" s="312"/>
      <c r="H53" s="312"/>
      <c r="K53" s="306"/>
      <c r="L53" s="306"/>
      <c r="M53" s="306"/>
      <c r="N53" s="306"/>
      <c r="O53" s="306"/>
      <c r="P53" s="306"/>
    </row>
    <row r="54" spans="1:16" x14ac:dyDescent="0.25">
      <c r="A54" s="26">
        <v>2</v>
      </c>
      <c r="B54" s="82">
        <v>2017</v>
      </c>
      <c r="C54" s="10">
        <f>C53*$F$50</f>
        <v>20.474879999999999</v>
      </c>
      <c r="E54" s="26">
        <v>1</v>
      </c>
      <c r="F54" s="83">
        <v>2016</v>
      </c>
      <c r="G54" s="5">
        <v>544.92999999999995</v>
      </c>
      <c r="H54" s="93">
        <f>(94*G54)</f>
        <v>51223.42</v>
      </c>
      <c r="J54" s="26">
        <v>1</v>
      </c>
      <c r="K54" s="83">
        <v>2016</v>
      </c>
      <c r="L54" s="313">
        <v>19.84</v>
      </c>
      <c r="M54" s="313"/>
      <c r="N54" s="304">
        <v>51223.42</v>
      </c>
      <c r="O54" s="304"/>
      <c r="P54" s="110">
        <f>N54*L54</f>
        <v>1016272.6527999999</v>
      </c>
    </row>
    <row r="55" spans="1:16" x14ac:dyDescent="0.25">
      <c r="A55" s="26">
        <v>3</v>
      </c>
      <c r="B55" s="82">
        <v>2018</v>
      </c>
      <c r="C55" s="10">
        <f t="shared" ref="C55:C72" si="15">C54*$F$50</f>
        <v>21.130076159999998</v>
      </c>
      <c r="E55" s="26">
        <v>2</v>
      </c>
      <c r="F55" s="83">
        <v>2017</v>
      </c>
      <c r="G55" s="5">
        <v>544.92999999999995</v>
      </c>
      <c r="H55" s="93">
        <f t="shared" ref="H55:H73" si="16">(94*G55)</f>
        <v>51223.42</v>
      </c>
      <c r="J55" s="26">
        <v>2</v>
      </c>
      <c r="K55" s="83">
        <v>2017</v>
      </c>
      <c r="L55" s="310">
        <f>L54*$F$50</f>
        <v>20.474879999999999</v>
      </c>
      <c r="M55" s="310"/>
      <c r="N55" s="304">
        <v>51223.42</v>
      </c>
      <c r="O55" s="304"/>
      <c r="P55" s="110">
        <f t="shared" ref="P55:P73" si="17">N55*L55</f>
        <v>1048793.3776896</v>
      </c>
    </row>
    <row r="56" spans="1:16" x14ac:dyDescent="0.25">
      <c r="A56" s="26">
        <v>4</v>
      </c>
      <c r="B56" s="82">
        <v>2019</v>
      </c>
      <c r="C56" s="10">
        <f t="shared" si="15"/>
        <v>21.80623859712</v>
      </c>
      <c r="E56" s="26">
        <v>3</v>
      </c>
      <c r="F56" s="83">
        <v>2018</v>
      </c>
      <c r="G56" s="5">
        <v>544.92999999999995</v>
      </c>
      <c r="H56" s="93">
        <f t="shared" si="16"/>
        <v>51223.42</v>
      </c>
      <c r="J56" s="26">
        <v>3</v>
      </c>
      <c r="K56" s="83">
        <v>2018</v>
      </c>
      <c r="L56" s="310">
        <f t="shared" ref="L56:L73" si="18">L55*$F$50</f>
        <v>21.130076159999998</v>
      </c>
      <c r="M56" s="310"/>
      <c r="N56" s="304">
        <v>51223.42</v>
      </c>
      <c r="O56" s="304"/>
      <c r="P56" s="110">
        <f>N56*L56</f>
        <v>1082354.765775667</v>
      </c>
    </row>
    <row r="57" spans="1:16" x14ac:dyDescent="0.25">
      <c r="A57" s="26">
        <v>5</v>
      </c>
      <c r="B57" s="82">
        <v>2020</v>
      </c>
      <c r="C57" s="10">
        <f t="shared" si="15"/>
        <v>22.504038232227842</v>
      </c>
      <c r="E57" s="26">
        <v>4</v>
      </c>
      <c r="F57" s="83">
        <v>2019</v>
      </c>
      <c r="G57" s="5">
        <v>544.92999999999995</v>
      </c>
      <c r="H57" s="93">
        <f t="shared" si="16"/>
        <v>51223.42</v>
      </c>
      <c r="J57" s="26">
        <v>4</v>
      </c>
      <c r="K57" s="83">
        <v>2019</v>
      </c>
      <c r="L57" s="310">
        <f t="shared" si="18"/>
        <v>21.80623859712</v>
      </c>
      <c r="M57" s="310"/>
      <c r="N57" s="304">
        <v>51223.42</v>
      </c>
      <c r="O57" s="304"/>
      <c r="P57" s="110">
        <f t="shared" si="17"/>
        <v>1116990.1182804885</v>
      </c>
    </row>
    <row r="58" spans="1:16" x14ac:dyDescent="0.25">
      <c r="A58" s="26">
        <v>6</v>
      </c>
      <c r="B58" s="82">
        <v>2021</v>
      </c>
      <c r="C58" s="10">
        <f t="shared" si="15"/>
        <v>23.224167455659135</v>
      </c>
      <c r="E58" s="26">
        <v>5</v>
      </c>
      <c r="F58" s="83">
        <v>2020</v>
      </c>
      <c r="G58" s="5">
        <v>544.92999999999995</v>
      </c>
      <c r="H58" s="93">
        <f t="shared" si="16"/>
        <v>51223.42</v>
      </c>
      <c r="J58" s="26">
        <v>5</v>
      </c>
      <c r="K58" s="83">
        <v>2020</v>
      </c>
      <c r="L58" s="310">
        <f t="shared" si="18"/>
        <v>22.504038232227842</v>
      </c>
      <c r="M58" s="310"/>
      <c r="N58" s="304">
        <v>51223.42</v>
      </c>
      <c r="O58" s="304"/>
      <c r="P58" s="110">
        <f t="shared" si="17"/>
        <v>1152733.8020654642</v>
      </c>
    </row>
    <row r="59" spans="1:16" x14ac:dyDescent="0.25">
      <c r="A59" s="26">
        <v>7</v>
      </c>
      <c r="B59" s="82">
        <v>2022</v>
      </c>
      <c r="C59" s="10">
        <f t="shared" si="15"/>
        <v>23.967340814240227</v>
      </c>
      <c r="E59" s="26">
        <v>6</v>
      </c>
      <c r="F59" s="83">
        <v>2021</v>
      </c>
      <c r="G59" s="5">
        <v>544.92999999999995</v>
      </c>
      <c r="H59" s="93">
        <f t="shared" si="16"/>
        <v>51223.42</v>
      </c>
      <c r="J59" s="26">
        <v>6</v>
      </c>
      <c r="K59" s="83">
        <v>2021</v>
      </c>
      <c r="L59" s="310">
        <f t="shared" si="18"/>
        <v>23.224167455659135</v>
      </c>
      <c r="M59" s="310"/>
      <c r="N59" s="304">
        <v>51223.42</v>
      </c>
      <c r="O59" s="304"/>
      <c r="P59" s="110">
        <f t="shared" si="17"/>
        <v>1189621.2837315593</v>
      </c>
    </row>
    <row r="60" spans="1:16" x14ac:dyDescent="0.25">
      <c r="A60" s="26">
        <v>8</v>
      </c>
      <c r="B60" s="82">
        <v>2023</v>
      </c>
      <c r="C60" s="10">
        <f t="shared" si="15"/>
        <v>24.734295720295915</v>
      </c>
      <c r="E60" s="26">
        <v>7</v>
      </c>
      <c r="F60" s="83">
        <v>2022</v>
      </c>
      <c r="G60" s="5">
        <v>544.92999999999995</v>
      </c>
      <c r="H60" s="93">
        <f t="shared" si="16"/>
        <v>51223.42</v>
      </c>
      <c r="J60" s="26">
        <v>7</v>
      </c>
      <c r="K60" s="83">
        <v>2022</v>
      </c>
      <c r="L60" s="310">
        <f t="shared" si="18"/>
        <v>23.967340814240227</v>
      </c>
      <c r="M60" s="310"/>
      <c r="N60" s="304">
        <v>51223.42</v>
      </c>
      <c r="O60" s="304"/>
      <c r="P60" s="110">
        <f t="shared" si="17"/>
        <v>1227689.164810969</v>
      </c>
    </row>
    <row r="61" spans="1:16" x14ac:dyDescent="0.25">
      <c r="A61" s="26">
        <v>9</v>
      </c>
      <c r="B61" s="82">
        <v>2024</v>
      </c>
      <c r="C61" s="10">
        <f t="shared" si="15"/>
        <v>25.525793183345385</v>
      </c>
      <c r="E61" s="26">
        <v>8</v>
      </c>
      <c r="F61" s="83">
        <v>2023</v>
      </c>
      <c r="G61" s="5">
        <v>544.92999999999995</v>
      </c>
      <c r="H61" s="93">
        <f t="shared" si="16"/>
        <v>51223.42</v>
      </c>
      <c r="J61" s="26">
        <v>8</v>
      </c>
      <c r="K61" s="83">
        <v>2023</v>
      </c>
      <c r="L61" s="310">
        <f t="shared" si="18"/>
        <v>24.734295720295915</v>
      </c>
      <c r="M61" s="310"/>
      <c r="N61" s="304">
        <v>51223.42</v>
      </c>
      <c r="O61" s="304"/>
      <c r="P61" s="110">
        <f t="shared" si="17"/>
        <v>1266975.2180849202</v>
      </c>
    </row>
    <row r="62" spans="1:16" x14ac:dyDescent="0.25">
      <c r="A62" s="26">
        <v>10</v>
      </c>
      <c r="B62" s="82">
        <v>2025</v>
      </c>
      <c r="C62" s="10">
        <f t="shared" si="15"/>
        <v>26.342618565212437</v>
      </c>
      <c r="E62" s="26">
        <v>9</v>
      </c>
      <c r="F62" s="83">
        <v>2024</v>
      </c>
      <c r="G62" s="5">
        <v>544.92999999999995</v>
      </c>
      <c r="H62" s="93">
        <f t="shared" si="16"/>
        <v>51223.42</v>
      </c>
      <c r="J62" s="26">
        <v>9</v>
      </c>
      <c r="K62" s="83">
        <v>2024</v>
      </c>
      <c r="L62" s="310">
        <f t="shared" si="18"/>
        <v>25.525793183345385</v>
      </c>
      <c r="M62" s="310"/>
      <c r="N62" s="304">
        <v>51223.42</v>
      </c>
      <c r="O62" s="304"/>
      <c r="P62" s="110">
        <f t="shared" si="17"/>
        <v>1307518.4250636376</v>
      </c>
    </row>
    <row r="63" spans="1:16" x14ac:dyDescent="0.25">
      <c r="A63" s="26">
        <v>11</v>
      </c>
      <c r="B63" s="82">
        <v>2026</v>
      </c>
      <c r="C63" s="10">
        <f t="shared" si="15"/>
        <v>27.185582359299236</v>
      </c>
      <c r="E63" s="26">
        <v>10</v>
      </c>
      <c r="F63" s="83">
        <v>2025</v>
      </c>
      <c r="G63" s="5">
        <v>544.92999999999995</v>
      </c>
      <c r="H63" s="93">
        <f t="shared" si="16"/>
        <v>51223.42</v>
      </c>
      <c r="J63" s="26">
        <v>10</v>
      </c>
      <c r="K63" s="83">
        <v>2025</v>
      </c>
      <c r="L63" s="310">
        <f t="shared" si="18"/>
        <v>26.342618565212437</v>
      </c>
      <c r="M63" s="310"/>
      <c r="N63" s="304">
        <v>51223.42</v>
      </c>
      <c r="O63" s="304"/>
      <c r="P63" s="110">
        <f t="shared" si="17"/>
        <v>1349359.014665674</v>
      </c>
    </row>
    <row r="64" spans="1:16" x14ac:dyDescent="0.25">
      <c r="A64" s="26">
        <v>12</v>
      </c>
      <c r="B64" s="82">
        <v>2027</v>
      </c>
      <c r="C64" s="10">
        <f t="shared" si="15"/>
        <v>28.055520994796812</v>
      </c>
      <c r="E64" s="26">
        <v>11</v>
      </c>
      <c r="F64" s="83">
        <v>2026</v>
      </c>
      <c r="G64" s="5">
        <v>544.92999999999995</v>
      </c>
      <c r="H64" s="93">
        <f t="shared" si="16"/>
        <v>51223.42</v>
      </c>
      <c r="J64" s="26">
        <v>11</v>
      </c>
      <c r="K64" s="83">
        <v>2026</v>
      </c>
      <c r="L64" s="310">
        <f t="shared" si="18"/>
        <v>27.185582359299236</v>
      </c>
      <c r="M64" s="310"/>
      <c r="N64" s="304">
        <v>51223.42</v>
      </c>
      <c r="O64" s="304"/>
      <c r="P64" s="110">
        <f t="shared" si="17"/>
        <v>1392538.5031349757</v>
      </c>
    </row>
    <row r="65" spans="1:25" x14ac:dyDescent="0.25">
      <c r="A65" s="26">
        <v>13</v>
      </c>
      <c r="B65" s="82">
        <v>2028</v>
      </c>
      <c r="C65" s="10">
        <f t="shared" si="15"/>
        <v>28.953297666630309</v>
      </c>
      <c r="E65" s="26">
        <v>12</v>
      </c>
      <c r="F65" s="83">
        <v>2027</v>
      </c>
      <c r="G65" s="5">
        <v>544.92999999999995</v>
      </c>
      <c r="H65" s="93">
        <f t="shared" si="16"/>
        <v>51223.42</v>
      </c>
      <c r="J65" s="26">
        <v>12</v>
      </c>
      <c r="K65" s="83">
        <v>2027</v>
      </c>
      <c r="L65" s="310">
        <f t="shared" si="18"/>
        <v>28.055520994796812</v>
      </c>
      <c r="M65" s="310"/>
      <c r="N65" s="304">
        <v>51223.42</v>
      </c>
      <c r="O65" s="304"/>
      <c r="P65" s="110">
        <f t="shared" si="17"/>
        <v>1437099.7352352948</v>
      </c>
    </row>
    <row r="66" spans="1:25" x14ac:dyDescent="0.25">
      <c r="A66" s="26">
        <v>14</v>
      </c>
      <c r="B66" s="82">
        <v>2029</v>
      </c>
      <c r="C66" s="10">
        <f t="shared" si="15"/>
        <v>29.87980319196248</v>
      </c>
      <c r="E66" s="26">
        <v>13</v>
      </c>
      <c r="F66" s="83">
        <v>2028</v>
      </c>
      <c r="G66" s="5">
        <v>544.92999999999995</v>
      </c>
      <c r="H66" s="93">
        <f t="shared" si="16"/>
        <v>51223.42</v>
      </c>
      <c r="J66" s="26">
        <v>13</v>
      </c>
      <c r="K66" s="83">
        <v>2028</v>
      </c>
      <c r="L66" s="310">
        <f t="shared" si="18"/>
        <v>28.953297666630309</v>
      </c>
      <c r="M66" s="310"/>
      <c r="N66" s="304">
        <v>51223.42</v>
      </c>
      <c r="O66" s="304"/>
      <c r="P66" s="110">
        <f t="shared" si="17"/>
        <v>1483086.9267628242</v>
      </c>
    </row>
    <row r="67" spans="1:25" x14ac:dyDescent="0.25">
      <c r="A67" s="26">
        <v>15</v>
      </c>
      <c r="B67" s="82">
        <v>2030</v>
      </c>
      <c r="C67" s="10">
        <f t="shared" si="15"/>
        <v>30.83595689410528</v>
      </c>
      <c r="E67" s="26">
        <v>14</v>
      </c>
      <c r="F67" s="83">
        <v>2029</v>
      </c>
      <c r="G67" s="5">
        <v>544.92999999999995</v>
      </c>
      <c r="H67" s="93">
        <f t="shared" si="16"/>
        <v>51223.42</v>
      </c>
      <c r="J67" s="26">
        <v>14</v>
      </c>
      <c r="K67" s="83">
        <v>2029</v>
      </c>
      <c r="L67" s="310">
        <f t="shared" si="18"/>
        <v>29.87980319196248</v>
      </c>
      <c r="M67" s="310"/>
      <c r="N67" s="304">
        <v>51223.42</v>
      </c>
      <c r="O67" s="304"/>
      <c r="P67" s="110">
        <f t="shared" si="17"/>
        <v>1530545.7084192347</v>
      </c>
    </row>
    <row r="68" spans="1:25" x14ac:dyDescent="0.25">
      <c r="A68" s="26">
        <v>16</v>
      </c>
      <c r="B68" s="82">
        <v>2031</v>
      </c>
      <c r="C68" s="10">
        <f t="shared" si="15"/>
        <v>31.822707514716651</v>
      </c>
      <c r="E68" s="26">
        <v>15</v>
      </c>
      <c r="F68" s="83">
        <v>2030</v>
      </c>
      <c r="G68" s="5">
        <v>544.92999999999995</v>
      </c>
      <c r="H68" s="93">
        <f t="shared" si="16"/>
        <v>51223.42</v>
      </c>
      <c r="J68" s="26">
        <v>15</v>
      </c>
      <c r="K68" s="83">
        <v>2030</v>
      </c>
      <c r="L68" s="310">
        <f t="shared" si="18"/>
        <v>30.83595689410528</v>
      </c>
      <c r="M68" s="310"/>
      <c r="N68" s="304">
        <v>51223.42</v>
      </c>
      <c r="O68" s="304"/>
      <c r="P68" s="110">
        <f t="shared" si="17"/>
        <v>1579523.1710886501</v>
      </c>
    </row>
    <row r="69" spans="1:25" x14ac:dyDescent="0.25">
      <c r="A69" s="26">
        <v>17</v>
      </c>
      <c r="B69" s="82">
        <v>2032</v>
      </c>
      <c r="C69" s="10">
        <f t="shared" si="15"/>
        <v>32.841034155187586</v>
      </c>
      <c r="E69" s="26">
        <v>16</v>
      </c>
      <c r="F69" s="83">
        <v>2031</v>
      </c>
      <c r="G69" s="5">
        <v>544.92999999999995</v>
      </c>
      <c r="H69" s="93">
        <f t="shared" si="16"/>
        <v>51223.42</v>
      </c>
      <c r="J69" s="26">
        <v>16</v>
      </c>
      <c r="K69" s="83">
        <v>2031</v>
      </c>
      <c r="L69" s="310">
        <f t="shared" si="18"/>
        <v>31.822707514716651</v>
      </c>
      <c r="M69" s="310"/>
      <c r="N69" s="304">
        <v>51223.42</v>
      </c>
      <c r="O69" s="304"/>
      <c r="P69" s="110">
        <f t="shared" si="17"/>
        <v>1630067.9125634872</v>
      </c>
    </row>
    <row r="70" spans="1:25" x14ac:dyDescent="0.25">
      <c r="A70" s="26">
        <v>18</v>
      </c>
      <c r="B70" s="82">
        <v>2033</v>
      </c>
      <c r="C70" s="10">
        <f t="shared" si="15"/>
        <v>33.891947248153592</v>
      </c>
      <c r="E70" s="26">
        <v>17</v>
      </c>
      <c r="F70" s="83">
        <v>2032</v>
      </c>
      <c r="G70" s="5">
        <v>544.92999999999995</v>
      </c>
      <c r="H70" s="93">
        <f t="shared" si="16"/>
        <v>51223.42</v>
      </c>
      <c r="J70" s="26">
        <v>17</v>
      </c>
      <c r="K70" s="83">
        <v>2032</v>
      </c>
      <c r="L70" s="310">
        <f t="shared" si="18"/>
        <v>32.841034155187586</v>
      </c>
      <c r="M70" s="310"/>
      <c r="N70" s="304">
        <v>51223.42</v>
      </c>
      <c r="O70" s="304"/>
      <c r="P70" s="110">
        <f t="shared" si="17"/>
        <v>1682230.0857655189</v>
      </c>
    </row>
    <row r="71" spans="1:25" x14ac:dyDescent="0.25">
      <c r="A71" s="26">
        <v>19</v>
      </c>
      <c r="B71" s="82">
        <v>2034</v>
      </c>
      <c r="C71" s="13">
        <f t="shared" si="15"/>
        <v>34.976489560094507</v>
      </c>
      <c r="E71" s="26">
        <v>18</v>
      </c>
      <c r="F71" s="83">
        <v>2033</v>
      </c>
      <c r="G71" s="5">
        <v>544.92999999999995</v>
      </c>
      <c r="H71" s="93">
        <f t="shared" si="16"/>
        <v>51223.42</v>
      </c>
      <c r="J71" s="26">
        <v>18</v>
      </c>
      <c r="K71" s="83">
        <v>2033</v>
      </c>
      <c r="L71" s="310">
        <f t="shared" si="18"/>
        <v>33.891947248153592</v>
      </c>
      <c r="M71" s="310"/>
      <c r="N71" s="304">
        <v>51223.42</v>
      </c>
      <c r="O71" s="304"/>
      <c r="P71" s="110">
        <f t="shared" si="17"/>
        <v>1736061.4485100156</v>
      </c>
    </row>
    <row r="72" spans="1:25" x14ac:dyDescent="0.25">
      <c r="A72" s="26">
        <v>20</v>
      </c>
      <c r="B72" s="82">
        <v>2035</v>
      </c>
      <c r="C72" s="13">
        <f t="shared" si="15"/>
        <v>36.095737226017533</v>
      </c>
      <c r="E72" s="26">
        <v>19</v>
      </c>
      <c r="F72" s="83">
        <v>2034</v>
      </c>
      <c r="G72" s="5">
        <v>544.92999999999995</v>
      </c>
      <c r="H72" s="93">
        <f t="shared" si="16"/>
        <v>51223.42</v>
      </c>
      <c r="J72" s="26">
        <v>19</v>
      </c>
      <c r="K72" s="83">
        <v>2034</v>
      </c>
      <c r="L72" s="310">
        <f t="shared" si="18"/>
        <v>34.976489560094507</v>
      </c>
      <c r="M72" s="310"/>
      <c r="N72" s="304">
        <v>51223.42</v>
      </c>
      <c r="O72" s="304"/>
      <c r="P72" s="110">
        <f t="shared" si="17"/>
        <v>1791615.4148623361</v>
      </c>
    </row>
    <row r="73" spans="1:25" x14ac:dyDescent="0.25">
      <c r="A73" s="73"/>
      <c r="B73" s="74"/>
      <c r="C73" s="184"/>
      <c r="E73" s="26">
        <v>20</v>
      </c>
      <c r="F73" s="83">
        <v>2035</v>
      </c>
      <c r="G73" s="5">
        <v>544.92999999999995</v>
      </c>
      <c r="H73" s="93">
        <f t="shared" si="16"/>
        <v>51223.42</v>
      </c>
      <c r="J73" s="26">
        <v>20</v>
      </c>
      <c r="K73" s="83">
        <v>2035</v>
      </c>
      <c r="L73" s="310">
        <f t="shared" si="18"/>
        <v>36.095737226017533</v>
      </c>
      <c r="M73" s="310"/>
      <c r="N73" s="304">
        <v>51223.42</v>
      </c>
      <c r="O73" s="304"/>
      <c r="P73" s="110">
        <f t="shared" si="17"/>
        <v>1848947.108137931</v>
      </c>
    </row>
    <row r="74" spans="1:25" x14ac:dyDescent="0.25">
      <c r="E74" s="73"/>
      <c r="F74" s="73"/>
      <c r="G74" s="25"/>
      <c r="H74" s="185"/>
      <c r="J74" s="73"/>
      <c r="K74" s="73"/>
      <c r="L74" s="311"/>
      <c r="M74" s="311"/>
      <c r="N74" s="307"/>
      <c r="O74" s="307"/>
      <c r="P74" s="186"/>
    </row>
    <row r="75" spans="1:25" x14ac:dyDescent="0.25">
      <c r="N75" s="308"/>
      <c r="O75" s="308"/>
    </row>
    <row r="76" spans="1:25" x14ac:dyDescent="0.25">
      <c r="N76" s="308"/>
      <c r="O76" s="308"/>
    </row>
    <row r="77" spans="1:25" x14ac:dyDescent="0.25">
      <c r="N77" s="308"/>
      <c r="O77" s="308"/>
    </row>
    <row r="78" spans="1:25" x14ac:dyDescent="0.25">
      <c r="B78" s="314" t="s">
        <v>204</v>
      </c>
      <c r="C78" s="314"/>
      <c r="D78" s="314"/>
      <c r="E78" s="314"/>
    </row>
    <row r="79" spans="1:25" x14ac:dyDescent="0.25">
      <c r="B79" s="314"/>
      <c r="C79" s="314"/>
      <c r="D79" s="314"/>
      <c r="E79" s="314"/>
    </row>
    <row r="80" spans="1:25" x14ac:dyDescent="0.25">
      <c r="E80" s="84">
        <v>1</v>
      </c>
      <c r="F80" s="84">
        <v>2</v>
      </c>
      <c r="G80" s="84">
        <v>3</v>
      </c>
      <c r="H80" s="84">
        <v>4</v>
      </c>
      <c r="I80" s="84">
        <v>5</v>
      </c>
      <c r="J80" s="84">
        <v>6</v>
      </c>
      <c r="K80" s="84">
        <v>7</v>
      </c>
      <c r="L80" s="84">
        <v>8</v>
      </c>
      <c r="M80" s="84">
        <v>9</v>
      </c>
      <c r="N80" s="84">
        <v>10</v>
      </c>
      <c r="O80" s="84">
        <v>11</v>
      </c>
      <c r="P80" s="84">
        <v>12</v>
      </c>
      <c r="Q80" s="84">
        <v>13</v>
      </c>
      <c r="R80" s="84">
        <v>14</v>
      </c>
      <c r="S80" s="84">
        <v>15</v>
      </c>
      <c r="T80" s="84">
        <v>16</v>
      </c>
      <c r="U80" s="84">
        <v>17</v>
      </c>
      <c r="V80" s="84">
        <v>18</v>
      </c>
      <c r="W80" s="84">
        <v>19</v>
      </c>
      <c r="X80" s="84">
        <v>20</v>
      </c>
      <c r="Y80" s="165"/>
    </row>
    <row r="81" spans="2:26" x14ac:dyDescent="0.25">
      <c r="B81" s="305"/>
      <c r="C81" s="305"/>
      <c r="D81" s="305"/>
      <c r="E81" s="88" t="s">
        <v>20</v>
      </c>
      <c r="F81" s="88" t="s">
        <v>21</v>
      </c>
      <c r="G81" s="88" t="s">
        <v>22</v>
      </c>
      <c r="H81" s="88" t="s">
        <v>23</v>
      </c>
      <c r="I81" s="88" t="s">
        <v>24</v>
      </c>
      <c r="J81" s="88" t="s">
        <v>25</v>
      </c>
      <c r="K81" s="88" t="s">
        <v>26</v>
      </c>
      <c r="L81" s="88" t="s">
        <v>27</v>
      </c>
      <c r="M81" s="88" t="s">
        <v>28</v>
      </c>
      <c r="N81" s="88" t="s">
        <v>29</v>
      </c>
      <c r="O81" s="88" t="s">
        <v>30</v>
      </c>
      <c r="P81" s="88" t="s">
        <v>31</v>
      </c>
      <c r="Q81" s="88" t="s">
        <v>32</v>
      </c>
      <c r="R81" s="88" t="s">
        <v>33</v>
      </c>
      <c r="S81" s="88" t="s">
        <v>34</v>
      </c>
      <c r="T81" s="88" t="s">
        <v>35</v>
      </c>
      <c r="U81" s="88" t="s">
        <v>36</v>
      </c>
      <c r="V81" s="88" t="s">
        <v>37</v>
      </c>
      <c r="W81" s="88" t="s">
        <v>38</v>
      </c>
      <c r="X81" s="88" t="s">
        <v>39</v>
      </c>
      <c r="Y81" s="165"/>
    </row>
    <row r="82" spans="2:26" x14ac:dyDescent="0.25">
      <c r="B82" s="309" t="s">
        <v>205</v>
      </c>
      <c r="C82" s="309"/>
      <c r="D82" s="309"/>
      <c r="E82" s="16">
        <f>F27</f>
        <v>7310748.5153999999</v>
      </c>
      <c r="F82" s="16">
        <f>F28</f>
        <v>7755973.0999878589</v>
      </c>
      <c r="G82" s="16">
        <f>F29</f>
        <v>8475161.2176304329</v>
      </c>
      <c r="H82" s="16">
        <f>F30</f>
        <v>9538868.6166133825</v>
      </c>
      <c r="I82" s="16">
        <f>F31</f>
        <v>11058163.085393801</v>
      </c>
      <c r="J82" s="16">
        <f>F32</f>
        <v>13204025.027506683</v>
      </c>
      <c r="K82" s="16">
        <f>F33</f>
        <v>16239285.299746372</v>
      </c>
      <c r="L82" s="16">
        <f>F34</f>
        <v>20571440.760836434</v>
      </c>
      <c r="M82" s="16">
        <f>F35</f>
        <v>26841064.257471256</v>
      </c>
      <c r="N82" s="16">
        <f>F36</f>
        <v>36072145.894643702</v>
      </c>
      <c r="O82" s="16">
        <f>F37</f>
        <v>49932286.137079582</v>
      </c>
      <c r="P82" s="16">
        <f>F38</f>
        <v>71191500.565059766</v>
      </c>
      <c r="Q82" s="16">
        <f>F39</f>
        <v>104547118.69099639</v>
      </c>
      <c r="R82" s="16">
        <f>F40</f>
        <v>158136897.49520898</v>
      </c>
      <c r="S82" s="16">
        <f>F41</f>
        <v>246372133.65987074</v>
      </c>
      <c r="T82" s="16">
        <f>F42</f>
        <v>395354949.29850191</v>
      </c>
      <c r="U82" s="16">
        <f>F43</f>
        <v>395354949.29850191</v>
      </c>
      <c r="V82" s="16">
        <f>F44</f>
        <v>395354949.29850191</v>
      </c>
      <c r="W82" s="16">
        <f>F45</f>
        <v>395354949.29850191</v>
      </c>
      <c r="X82" s="16">
        <f>F46</f>
        <v>395354949.29850191</v>
      </c>
      <c r="Y82" s="169"/>
    </row>
    <row r="83" spans="2:26" x14ac:dyDescent="0.25">
      <c r="B83" s="309" t="s">
        <v>19</v>
      </c>
      <c r="C83" s="309"/>
      <c r="D83" s="309"/>
      <c r="E83" s="16">
        <f>P54</f>
        <v>1016272.6527999999</v>
      </c>
      <c r="F83" s="16">
        <f>P55</f>
        <v>1048793.3776896</v>
      </c>
      <c r="G83" s="16">
        <f>P56</f>
        <v>1082354.765775667</v>
      </c>
      <c r="H83" s="16">
        <f>P57</f>
        <v>1116990.1182804885</v>
      </c>
      <c r="I83" s="16">
        <f>P58</f>
        <v>1152733.8020654642</v>
      </c>
      <c r="J83" s="16">
        <f>P59</f>
        <v>1189621.2837315593</v>
      </c>
      <c r="K83" s="16">
        <f>P60</f>
        <v>1227689.164810969</v>
      </c>
      <c r="L83" s="16">
        <f>P61</f>
        <v>1266975.2180849202</v>
      </c>
      <c r="M83" s="16">
        <f>P62</f>
        <v>1307518.4250636376</v>
      </c>
      <c r="N83" s="16">
        <f>P63</f>
        <v>1349359.014665674</v>
      </c>
      <c r="O83" s="16">
        <f>P64</f>
        <v>1392538.5031349757</v>
      </c>
      <c r="P83" s="16">
        <f>P65</f>
        <v>1437099.7352352948</v>
      </c>
      <c r="Q83" s="16">
        <f>P66</f>
        <v>1483086.9267628242</v>
      </c>
      <c r="R83" s="16">
        <f>P67</f>
        <v>1530545.7084192347</v>
      </c>
      <c r="S83" s="16">
        <f>P68</f>
        <v>1579523.1710886501</v>
      </c>
      <c r="T83" s="16">
        <f>P69</f>
        <v>1630067.9125634872</v>
      </c>
      <c r="U83" s="16">
        <f>P70</f>
        <v>1682230.0857655189</v>
      </c>
      <c r="V83" s="16">
        <f>P71</f>
        <v>1736061.4485100156</v>
      </c>
      <c r="W83" s="16">
        <f>P72</f>
        <v>1791615.4148623361</v>
      </c>
      <c r="X83" s="16">
        <f>P73</f>
        <v>1848947.108137931</v>
      </c>
      <c r="Y83" s="169"/>
    </row>
    <row r="84" spans="2:26" x14ac:dyDescent="0.25">
      <c r="B84" s="306" t="s">
        <v>43</v>
      </c>
      <c r="C84" s="306"/>
      <c r="D84" s="306"/>
      <c r="E84" s="109">
        <f>E82+E83</f>
        <v>8327021.1682000002</v>
      </c>
      <c r="F84" s="109">
        <f t="shared" ref="F84:X84" si="19">F82+F83</f>
        <v>8804766.4776774589</v>
      </c>
      <c r="G84" s="109">
        <f t="shared" si="19"/>
        <v>9557515.9834061004</v>
      </c>
      <c r="H84" s="109">
        <f t="shared" si="19"/>
        <v>10655858.734893871</v>
      </c>
      <c r="I84" s="109">
        <f t="shared" si="19"/>
        <v>12210896.887459265</v>
      </c>
      <c r="J84" s="109">
        <f t="shared" si="19"/>
        <v>14393646.311238242</v>
      </c>
      <c r="K84" s="109">
        <f t="shared" si="19"/>
        <v>17466974.464557342</v>
      </c>
      <c r="L84" s="109">
        <f t="shared" si="19"/>
        <v>21838415.978921354</v>
      </c>
      <c r="M84" s="109">
        <f t="shared" si="19"/>
        <v>28148582.682534892</v>
      </c>
      <c r="N84" s="109">
        <f t="shared" si="19"/>
        <v>37421504.909309372</v>
      </c>
      <c r="O84" s="109">
        <f t="shared" si="19"/>
        <v>51324824.640214555</v>
      </c>
      <c r="P84" s="109">
        <f t="shared" si="19"/>
        <v>72628600.300295055</v>
      </c>
      <c r="Q84" s="109">
        <f t="shared" si="19"/>
        <v>106030205.61775921</v>
      </c>
      <c r="R84" s="109">
        <f t="shared" si="19"/>
        <v>159667443.20362821</v>
      </c>
      <c r="S84" s="109">
        <f t="shared" si="19"/>
        <v>247951656.83095938</v>
      </c>
      <c r="T84" s="109">
        <f t="shared" si="19"/>
        <v>396985017.21106541</v>
      </c>
      <c r="U84" s="109">
        <f t="shared" si="19"/>
        <v>397037179.38426745</v>
      </c>
      <c r="V84" s="109">
        <f t="shared" si="19"/>
        <v>397091010.7470119</v>
      </c>
      <c r="W84" s="109">
        <f t="shared" si="19"/>
        <v>397146564.71336424</v>
      </c>
      <c r="X84" s="109">
        <f t="shared" si="19"/>
        <v>397203896.40663981</v>
      </c>
      <c r="Y84" s="170"/>
      <c r="Z84" s="70"/>
    </row>
  </sheetData>
  <mergeCells count="101">
    <mergeCell ref="G52:G53"/>
    <mergeCell ref="F42:G42"/>
    <mergeCell ref="F43:G43"/>
    <mergeCell ref="F44:G44"/>
    <mergeCell ref="F45:G45"/>
    <mergeCell ref="F46:G46"/>
    <mergeCell ref="F47:G47"/>
    <mergeCell ref="B1:G2"/>
    <mergeCell ref="B78:E79"/>
    <mergeCell ref="F32:G32"/>
    <mergeCell ref="F25:G26"/>
    <mergeCell ref="F52:F53"/>
    <mergeCell ref="A25:A26"/>
    <mergeCell ref="B16:C16"/>
    <mergeCell ref="B4:E4"/>
    <mergeCell ref="B5:C5"/>
    <mergeCell ref="B6:C6"/>
    <mergeCell ref="B7:C7"/>
    <mergeCell ref="B8:C8"/>
    <mergeCell ref="B9:C9"/>
    <mergeCell ref="B10:C10"/>
    <mergeCell ref="B11:C11"/>
    <mergeCell ref="B12:C12"/>
    <mergeCell ref="B14:C14"/>
    <mergeCell ref="B15:C15"/>
    <mergeCell ref="B18:C18"/>
    <mergeCell ref="B25:B26"/>
    <mergeCell ref="B19:C19"/>
    <mergeCell ref="C25:C26"/>
    <mergeCell ref="D25:D26"/>
    <mergeCell ref="E25:E26"/>
    <mergeCell ref="H52:H53"/>
    <mergeCell ref="K52:K53"/>
    <mergeCell ref="L52:M53"/>
    <mergeCell ref="N52:O53"/>
    <mergeCell ref="L54:M54"/>
    <mergeCell ref="L55:M55"/>
    <mergeCell ref="L56:M56"/>
    <mergeCell ref="L57:M57"/>
    <mergeCell ref="B22:G23"/>
    <mergeCell ref="B49:D50"/>
    <mergeCell ref="F33:G33"/>
    <mergeCell ref="F34:G34"/>
    <mergeCell ref="F35:G35"/>
    <mergeCell ref="F36:G36"/>
    <mergeCell ref="F37:G37"/>
    <mergeCell ref="F38:G38"/>
    <mergeCell ref="F27:G27"/>
    <mergeCell ref="F28:G28"/>
    <mergeCell ref="F29:G29"/>
    <mergeCell ref="F30:G30"/>
    <mergeCell ref="F31:G31"/>
    <mergeCell ref="F39:G39"/>
    <mergeCell ref="F40:G40"/>
    <mergeCell ref="F41:G41"/>
    <mergeCell ref="P52:P53"/>
    <mergeCell ref="L58:M58"/>
    <mergeCell ref="L59:M59"/>
    <mergeCell ref="L72:M72"/>
    <mergeCell ref="L61:M61"/>
    <mergeCell ref="L62:M62"/>
    <mergeCell ref="L63:M63"/>
    <mergeCell ref="L64:M64"/>
    <mergeCell ref="L65:M65"/>
    <mergeCell ref="L66:M66"/>
    <mergeCell ref="N67:O67"/>
    <mergeCell ref="L60:M60"/>
    <mergeCell ref="N61:O61"/>
    <mergeCell ref="L67:M67"/>
    <mergeCell ref="L68:M68"/>
    <mergeCell ref="L69:M69"/>
    <mergeCell ref="L70:M70"/>
    <mergeCell ref="L71:M71"/>
    <mergeCell ref="N62:O62"/>
    <mergeCell ref="N63:O63"/>
    <mergeCell ref="N64:O64"/>
    <mergeCell ref="N65:O65"/>
    <mergeCell ref="N66:O66"/>
    <mergeCell ref="N54:O54"/>
    <mergeCell ref="N55:O55"/>
    <mergeCell ref="N56:O56"/>
    <mergeCell ref="N57:O57"/>
    <mergeCell ref="N58:O58"/>
    <mergeCell ref="N59:O59"/>
    <mergeCell ref="N60:O60"/>
    <mergeCell ref="B81:D81"/>
    <mergeCell ref="B84:D84"/>
    <mergeCell ref="N74:O74"/>
    <mergeCell ref="N75:O75"/>
    <mergeCell ref="N76:O76"/>
    <mergeCell ref="N77:O77"/>
    <mergeCell ref="B82:D82"/>
    <mergeCell ref="B83:D83"/>
    <mergeCell ref="N68:O68"/>
    <mergeCell ref="N69:O69"/>
    <mergeCell ref="N70:O70"/>
    <mergeCell ref="N71:O71"/>
    <mergeCell ref="N72:O72"/>
    <mergeCell ref="N73:O73"/>
    <mergeCell ref="L73:M73"/>
    <mergeCell ref="L74:M74"/>
  </mergeCell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8"/>
  <sheetViews>
    <sheetView tabSelected="1" zoomScale="85" zoomScaleNormal="85" workbookViewId="0">
      <selection activeCell="M17" sqref="M17"/>
    </sheetView>
  </sheetViews>
  <sheetFormatPr baseColWidth="10" defaultRowHeight="15" x14ac:dyDescent="0.25"/>
  <cols>
    <col min="3" max="3" width="19.28515625" customWidth="1"/>
    <col min="4" max="4" width="12.42578125" bestFit="1" customWidth="1"/>
    <col min="5" max="17" width="11.5703125" bestFit="1" customWidth="1"/>
    <col min="18" max="18" width="13.42578125" customWidth="1"/>
    <col min="19" max="19" width="16.42578125" customWidth="1"/>
    <col min="20" max="20" width="15.85546875" customWidth="1"/>
    <col min="21" max="22" width="11.5703125" bestFit="1" customWidth="1"/>
    <col min="23" max="24" width="12.5703125" bestFit="1" customWidth="1"/>
    <col min="25" max="25" width="12.7109375" bestFit="1" customWidth="1"/>
  </cols>
  <sheetData>
    <row r="2" spans="2:25" x14ac:dyDescent="0.25">
      <c r="B2" s="314" t="s">
        <v>271</v>
      </c>
      <c r="C2" s="314"/>
      <c r="D2" s="314"/>
      <c r="E2" s="314"/>
    </row>
    <row r="3" spans="2:25" x14ac:dyDescent="0.25">
      <c r="B3" s="314"/>
      <c r="C3" s="314"/>
      <c r="D3" s="314"/>
      <c r="E3" s="314"/>
    </row>
    <row r="5" spans="2:25" x14ac:dyDescent="0.25">
      <c r="C5" s="368"/>
      <c r="D5" s="374"/>
      <c r="E5" s="82">
        <v>0</v>
      </c>
      <c r="F5" s="82">
        <v>1</v>
      </c>
      <c r="G5" s="82">
        <v>2</v>
      </c>
      <c r="H5" s="82">
        <v>3</v>
      </c>
      <c r="I5" s="82">
        <v>4</v>
      </c>
      <c r="J5" s="82">
        <v>5</v>
      </c>
      <c r="K5" s="82">
        <v>6</v>
      </c>
      <c r="L5" s="82">
        <v>7</v>
      </c>
      <c r="M5" s="82">
        <v>8</v>
      </c>
      <c r="N5" s="82">
        <v>9</v>
      </c>
      <c r="O5" s="82">
        <v>10</v>
      </c>
      <c r="P5" s="82">
        <v>11</v>
      </c>
      <c r="Q5" s="82">
        <v>12</v>
      </c>
      <c r="R5" s="82">
        <v>13</v>
      </c>
      <c r="S5" s="82">
        <v>14</v>
      </c>
      <c r="T5" s="82">
        <v>15</v>
      </c>
      <c r="U5" s="82">
        <v>16</v>
      </c>
      <c r="V5" s="82">
        <v>17</v>
      </c>
      <c r="W5" s="82">
        <v>18</v>
      </c>
      <c r="X5" s="82">
        <v>19</v>
      </c>
      <c r="Y5" s="82">
        <v>20</v>
      </c>
    </row>
    <row r="6" spans="2:25" x14ac:dyDescent="0.25">
      <c r="C6" s="351" t="s">
        <v>180</v>
      </c>
      <c r="D6" s="351"/>
      <c r="E6" s="79"/>
      <c r="F6" s="79"/>
      <c r="G6" s="79"/>
      <c r="H6" s="79"/>
      <c r="I6" s="79"/>
      <c r="J6" s="79"/>
      <c r="K6" s="79"/>
      <c r="L6" s="79"/>
      <c r="M6" s="79"/>
      <c r="N6" s="79"/>
      <c r="O6" s="79"/>
      <c r="P6" s="79"/>
      <c r="Q6" s="79"/>
      <c r="R6" s="79"/>
      <c r="S6" s="79"/>
      <c r="T6" s="79"/>
      <c r="U6" s="79"/>
      <c r="V6" s="79"/>
      <c r="W6" s="79"/>
      <c r="X6" s="79"/>
      <c r="Y6" s="79"/>
    </row>
    <row r="7" spans="2:25" x14ac:dyDescent="0.25">
      <c r="C7" s="351" t="s">
        <v>272</v>
      </c>
      <c r="D7" s="351"/>
      <c r="E7" s="79">
        <v>23314094.984372064</v>
      </c>
      <c r="F7" s="79"/>
      <c r="G7" s="79"/>
      <c r="H7" s="79"/>
      <c r="I7" s="79"/>
      <c r="J7" s="79"/>
      <c r="K7" s="79"/>
      <c r="L7" s="79"/>
      <c r="M7" s="79"/>
      <c r="N7" s="79"/>
      <c r="O7" s="79"/>
      <c r="P7" s="79"/>
      <c r="Q7" s="79"/>
      <c r="R7" s="79"/>
      <c r="S7" s="79"/>
      <c r="T7" s="79"/>
      <c r="U7" s="79"/>
      <c r="V7" s="79"/>
      <c r="W7" s="79"/>
      <c r="X7" s="79"/>
      <c r="Y7" s="79"/>
    </row>
    <row r="8" spans="2:25" x14ac:dyDescent="0.25">
      <c r="C8" s="351" t="s">
        <v>179</v>
      </c>
      <c r="D8" s="351"/>
      <c r="E8" s="79"/>
      <c r="F8" s="79"/>
      <c r="G8" s="79"/>
      <c r="H8" s="79"/>
      <c r="I8" s="79"/>
      <c r="J8" s="79"/>
      <c r="K8" s="79"/>
      <c r="L8" s="79"/>
      <c r="M8" s="79"/>
      <c r="N8" s="79"/>
      <c r="O8" s="79"/>
      <c r="P8" s="79"/>
      <c r="Q8" s="79"/>
      <c r="R8" s="79"/>
      <c r="S8" s="79"/>
      <c r="T8" s="79"/>
      <c r="U8" s="79"/>
      <c r="V8" s="79"/>
      <c r="W8" s="79"/>
      <c r="X8" s="79"/>
      <c r="Y8" s="79"/>
    </row>
    <row r="9" spans="2:25" x14ac:dyDescent="0.25">
      <c r="C9" s="351" t="s">
        <v>195</v>
      </c>
      <c r="D9" s="351"/>
      <c r="E9" s="79"/>
      <c r="F9" s="79">
        <f>-'Financiación '!F15</f>
        <v>-2331409.4984372063</v>
      </c>
      <c r="G9" s="79">
        <f>+F9</f>
        <v>-2331409.4984372063</v>
      </c>
      <c r="H9" s="79">
        <f t="shared" ref="H9:Y9" si="0">+G9</f>
        <v>-2331409.4984372063</v>
      </c>
      <c r="I9" s="79">
        <f t="shared" si="0"/>
        <v>-2331409.4984372063</v>
      </c>
      <c r="J9" s="79">
        <f t="shared" si="0"/>
        <v>-2331409.4984372063</v>
      </c>
      <c r="K9" s="79">
        <f t="shared" si="0"/>
        <v>-2331409.4984372063</v>
      </c>
      <c r="L9" s="79">
        <f t="shared" si="0"/>
        <v>-2331409.4984372063</v>
      </c>
      <c r="M9" s="79">
        <f t="shared" si="0"/>
        <v>-2331409.4984372063</v>
      </c>
      <c r="N9" s="79">
        <f t="shared" si="0"/>
        <v>-2331409.4984372063</v>
      </c>
      <c r="O9" s="79">
        <f t="shared" si="0"/>
        <v>-2331409.4984372063</v>
      </c>
      <c r="P9" s="79">
        <v>0</v>
      </c>
      <c r="Q9" s="79">
        <f t="shared" si="0"/>
        <v>0</v>
      </c>
      <c r="R9" s="79">
        <f t="shared" si="0"/>
        <v>0</v>
      </c>
      <c r="S9" s="79">
        <f t="shared" si="0"/>
        <v>0</v>
      </c>
      <c r="T9" s="79">
        <f t="shared" si="0"/>
        <v>0</v>
      </c>
      <c r="U9" s="79">
        <f t="shared" si="0"/>
        <v>0</v>
      </c>
      <c r="V9" s="79">
        <f t="shared" si="0"/>
        <v>0</v>
      </c>
      <c r="W9" s="79">
        <f t="shared" si="0"/>
        <v>0</v>
      </c>
      <c r="X9" s="79">
        <f t="shared" si="0"/>
        <v>0</v>
      </c>
      <c r="Y9" s="79">
        <f t="shared" si="0"/>
        <v>0</v>
      </c>
    </row>
    <row r="10" spans="2:25" x14ac:dyDescent="0.25">
      <c r="C10" s="351" t="s">
        <v>178</v>
      </c>
      <c r="D10" s="351"/>
      <c r="E10" s="79"/>
      <c r="F10" s="79">
        <v>-1631986.6489060447</v>
      </c>
      <c r="G10" s="79">
        <f>-'P y G'!H49</f>
        <v>-1468787.9840154401</v>
      </c>
      <c r="H10" s="79">
        <f>-'P y G'!I49</f>
        <v>-1305589.3191248355</v>
      </c>
      <c r="I10" s="79">
        <f>-'P y G'!J49</f>
        <v>-1142390.6542342312</v>
      </c>
      <c r="J10" s="79">
        <f>-'P y G'!K49</f>
        <v>-979191.98934362654</v>
      </c>
      <c r="K10" s="79">
        <f>-'P y G'!L49</f>
        <v>-815993.3244530221</v>
      </c>
      <c r="L10" s="79">
        <f>-'P y G'!M49</f>
        <v>-652794.65956241754</v>
      </c>
      <c r="M10" s="79">
        <f>-'P y G'!N49</f>
        <v>-489595.9946718131</v>
      </c>
      <c r="N10" s="79">
        <f>-'P y G'!O49</f>
        <v>-326397.32978120865</v>
      </c>
      <c r="O10" s="79">
        <f>-'P y G'!P49</f>
        <v>-163198.66489060418</v>
      </c>
      <c r="P10" s="79">
        <v>0</v>
      </c>
      <c r="Q10" s="79">
        <v>0</v>
      </c>
      <c r="R10" s="79">
        <v>0</v>
      </c>
      <c r="S10" s="79">
        <v>0</v>
      </c>
      <c r="T10" s="79">
        <v>0</v>
      </c>
      <c r="U10" s="79">
        <v>0</v>
      </c>
      <c r="V10" s="79">
        <v>0</v>
      </c>
      <c r="W10" s="79">
        <v>0</v>
      </c>
      <c r="X10" s="79">
        <v>0</v>
      </c>
      <c r="Y10" s="79">
        <v>0</v>
      </c>
    </row>
    <row r="11" spans="2:25" x14ac:dyDescent="0.25">
      <c r="C11" s="351" t="s">
        <v>177</v>
      </c>
      <c r="D11" s="351"/>
      <c r="E11" s="79"/>
      <c r="F11" s="79">
        <f t="shared" ref="F11:Y11" si="1">0.3*-F10</f>
        <v>489595.99467181339</v>
      </c>
      <c r="G11" s="79">
        <f t="shared" si="1"/>
        <v>440636.39520463202</v>
      </c>
      <c r="H11" s="79">
        <f t="shared" si="1"/>
        <v>391676.79573745065</v>
      </c>
      <c r="I11" s="79">
        <f t="shared" si="1"/>
        <v>342717.19627026934</v>
      </c>
      <c r="J11" s="79">
        <f t="shared" si="1"/>
        <v>293757.59680308797</v>
      </c>
      <c r="K11" s="79">
        <f t="shared" si="1"/>
        <v>244797.99733590661</v>
      </c>
      <c r="L11" s="79">
        <f t="shared" si="1"/>
        <v>195838.39786872527</v>
      </c>
      <c r="M11" s="79">
        <f t="shared" si="1"/>
        <v>146878.79840154393</v>
      </c>
      <c r="N11" s="79">
        <f t="shared" si="1"/>
        <v>97919.19893436259</v>
      </c>
      <c r="O11" s="79">
        <f t="shared" si="1"/>
        <v>48959.599467181251</v>
      </c>
      <c r="P11" s="79">
        <f t="shared" si="1"/>
        <v>0</v>
      </c>
      <c r="Q11" s="79">
        <f t="shared" si="1"/>
        <v>0</v>
      </c>
      <c r="R11" s="79">
        <f t="shared" si="1"/>
        <v>0</v>
      </c>
      <c r="S11" s="79">
        <f t="shared" si="1"/>
        <v>0</v>
      </c>
      <c r="T11" s="79">
        <f t="shared" si="1"/>
        <v>0</v>
      </c>
      <c r="U11" s="79">
        <f t="shared" si="1"/>
        <v>0</v>
      </c>
      <c r="V11" s="79">
        <f t="shared" si="1"/>
        <v>0</v>
      </c>
      <c r="W11" s="79">
        <f t="shared" si="1"/>
        <v>0</v>
      </c>
      <c r="X11" s="79">
        <f t="shared" si="1"/>
        <v>0</v>
      </c>
      <c r="Y11" s="79">
        <f t="shared" si="1"/>
        <v>0</v>
      </c>
    </row>
    <row r="12" spans="2:25" x14ac:dyDescent="0.25">
      <c r="C12" s="306" t="s">
        <v>176</v>
      </c>
      <c r="D12" s="306"/>
      <c r="E12" s="133"/>
      <c r="F12" s="133">
        <f t="shared" ref="F12:Y12" si="2">F9+F10+F11</f>
        <v>-3473800.1526714377</v>
      </c>
      <c r="G12" s="133">
        <f t="shared" si="2"/>
        <v>-3359561.0872480143</v>
      </c>
      <c r="H12" s="133">
        <f t="shared" si="2"/>
        <v>-3245322.0218245913</v>
      </c>
      <c r="I12" s="133">
        <f t="shared" si="2"/>
        <v>-3131082.9564011684</v>
      </c>
      <c r="J12" s="133">
        <f t="shared" si="2"/>
        <v>-3016843.8909777449</v>
      </c>
      <c r="K12" s="133">
        <f t="shared" si="2"/>
        <v>-2902604.825554322</v>
      </c>
      <c r="L12" s="133">
        <f t="shared" si="2"/>
        <v>-2788365.7601308981</v>
      </c>
      <c r="M12" s="133">
        <f t="shared" si="2"/>
        <v>-2674126.6947074756</v>
      </c>
      <c r="N12" s="133">
        <f t="shared" si="2"/>
        <v>-2559887.6292840522</v>
      </c>
      <c r="O12" s="133">
        <f t="shared" si="2"/>
        <v>-2445648.5638606292</v>
      </c>
      <c r="P12" s="133">
        <f t="shared" si="2"/>
        <v>0</v>
      </c>
      <c r="Q12" s="133">
        <f t="shared" si="2"/>
        <v>0</v>
      </c>
      <c r="R12" s="133">
        <f t="shared" si="2"/>
        <v>0</v>
      </c>
      <c r="S12" s="133">
        <f t="shared" si="2"/>
        <v>0</v>
      </c>
      <c r="T12" s="133">
        <f t="shared" si="2"/>
        <v>0</v>
      </c>
      <c r="U12" s="133">
        <f t="shared" si="2"/>
        <v>0</v>
      </c>
      <c r="V12" s="133">
        <f t="shared" si="2"/>
        <v>0</v>
      </c>
      <c r="W12" s="133">
        <f t="shared" si="2"/>
        <v>0</v>
      </c>
      <c r="X12" s="133">
        <f t="shared" si="2"/>
        <v>0</v>
      </c>
      <c r="Y12" s="133">
        <f t="shared" si="2"/>
        <v>0</v>
      </c>
    </row>
    <row r="13" spans="2:25" x14ac:dyDescent="0.25">
      <c r="C13" s="351" t="s">
        <v>175</v>
      </c>
      <c r="D13" s="351"/>
      <c r="E13" s="79"/>
      <c r="F13" s="93">
        <v>1.03</v>
      </c>
      <c r="G13" s="93">
        <f t="shared" ref="G13:L13" si="3">F13*$F$13</f>
        <v>1.0609</v>
      </c>
      <c r="H13" s="93">
        <f t="shared" si="3"/>
        <v>1.092727</v>
      </c>
      <c r="I13" s="93">
        <f t="shared" si="3"/>
        <v>1.1255088100000001</v>
      </c>
      <c r="J13" s="93">
        <f t="shared" si="3"/>
        <v>1.1592740743000001</v>
      </c>
      <c r="K13" s="93">
        <f t="shared" si="3"/>
        <v>1.1940522965290001</v>
      </c>
      <c r="L13" s="93">
        <f t="shared" si="3"/>
        <v>1.2298738654248702</v>
      </c>
      <c r="M13" s="93">
        <f t="shared" ref="M13:O13" si="4">L13*$F$13</f>
        <v>1.2667700813876164</v>
      </c>
      <c r="N13" s="93">
        <f t="shared" si="4"/>
        <v>1.3047731838292449</v>
      </c>
      <c r="O13" s="93">
        <f t="shared" si="4"/>
        <v>1.3439163793441222</v>
      </c>
      <c r="P13" s="93">
        <v>1</v>
      </c>
      <c r="Q13" s="93">
        <v>1</v>
      </c>
      <c r="R13" s="93">
        <v>1</v>
      </c>
      <c r="S13" s="93">
        <v>1</v>
      </c>
      <c r="T13" s="93">
        <v>1</v>
      </c>
      <c r="U13" s="93">
        <v>1</v>
      </c>
      <c r="V13" s="93">
        <v>1</v>
      </c>
      <c r="W13" s="93">
        <v>1</v>
      </c>
      <c r="X13" s="93">
        <v>1</v>
      </c>
      <c r="Y13" s="93">
        <v>1</v>
      </c>
    </row>
    <row r="14" spans="2:25" ht="28.5" customHeight="1" x14ac:dyDescent="0.25">
      <c r="C14" s="306" t="s">
        <v>196</v>
      </c>
      <c r="D14" s="306"/>
      <c r="E14" s="133">
        <f>E7</f>
        <v>23314094.984372064</v>
      </c>
      <c r="F14" s="133">
        <f>F12/F13</f>
        <v>-3372621.5074479976</v>
      </c>
      <c r="G14" s="133">
        <f>G12/G13</f>
        <v>-3166708.5373249264</v>
      </c>
      <c r="H14" s="133">
        <f>H12/H13</f>
        <v>-2969929.3801879073</v>
      </c>
      <c r="I14" s="133">
        <f>I12/I13</f>
        <v>-2781926.6527120015</v>
      </c>
      <c r="J14" s="133">
        <f t="shared" ref="J14:Y14" si="5">J12/J13</f>
        <v>-2602356.0414731037</v>
      </c>
      <c r="K14" s="133">
        <f t="shared" si="5"/>
        <v>-2430885.8447757494</v>
      </c>
      <c r="L14" s="133">
        <f t="shared" si="5"/>
        <v>-2267196.5300828908</v>
      </c>
      <c r="M14" s="133">
        <f t="shared" si="5"/>
        <v>-2110980.3065274833</v>
      </c>
      <c r="N14" s="133">
        <f t="shared" si="5"/>
        <v>-1961940.7120027565</v>
      </c>
      <c r="O14" s="133">
        <f t="shared" si="5"/>
        <v>-1819792.2143446086</v>
      </c>
      <c r="P14" s="133">
        <f t="shared" si="5"/>
        <v>0</v>
      </c>
      <c r="Q14" s="133">
        <f t="shared" si="5"/>
        <v>0</v>
      </c>
      <c r="R14" s="133">
        <f t="shared" si="5"/>
        <v>0</v>
      </c>
      <c r="S14" s="133">
        <f t="shared" si="5"/>
        <v>0</v>
      </c>
      <c r="T14" s="133">
        <f t="shared" si="5"/>
        <v>0</v>
      </c>
      <c r="U14" s="133">
        <f t="shared" si="5"/>
        <v>0</v>
      </c>
      <c r="V14" s="133">
        <f t="shared" si="5"/>
        <v>0</v>
      </c>
      <c r="W14" s="133">
        <f t="shared" si="5"/>
        <v>0</v>
      </c>
      <c r="X14" s="133">
        <f t="shared" si="5"/>
        <v>0</v>
      </c>
      <c r="Y14" s="133">
        <f t="shared" si="5"/>
        <v>0</v>
      </c>
    </row>
    <row r="16" spans="2:25" x14ac:dyDescent="0.25">
      <c r="E16" s="45">
        <v>0.03</v>
      </c>
      <c r="F16" s="18">
        <f>(1+E16)</f>
        <v>1.03</v>
      </c>
      <c r="G16" s="18">
        <f>$F$16^G5</f>
        <v>1.0609</v>
      </c>
      <c r="H16" s="18">
        <f t="shared" ref="H16:O16" si="6">$F$16^H5</f>
        <v>1.092727</v>
      </c>
      <c r="I16" s="18">
        <f>$F$16^I5</f>
        <v>1.1255088099999999</v>
      </c>
      <c r="J16" s="18">
        <f>$F$16^J5</f>
        <v>1.1592740742999998</v>
      </c>
      <c r="K16" s="18">
        <f t="shared" si="6"/>
        <v>1.1940522965289999</v>
      </c>
      <c r="L16" s="18">
        <f t="shared" si="6"/>
        <v>1.22987386542487</v>
      </c>
      <c r="M16" s="18">
        <f>$F$16^M5</f>
        <v>1.2667700813876159</v>
      </c>
      <c r="N16" s="18">
        <f>$F$16^N5</f>
        <v>1.3047731838292445</v>
      </c>
      <c r="O16" s="18">
        <f>$F$16^O5</f>
        <v>1.3439163793441218</v>
      </c>
    </row>
    <row r="17" spans="2:25" x14ac:dyDescent="0.25">
      <c r="B17" s="314" t="s">
        <v>174</v>
      </c>
      <c r="C17" s="314"/>
    </row>
    <row r="18" spans="2:25" x14ac:dyDescent="0.25">
      <c r="B18" s="373"/>
      <c r="C18" s="373"/>
    </row>
    <row r="19" spans="2:25" x14ac:dyDescent="0.25">
      <c r="B19" s="305"/>
      <c r="C19" s="305"/>
      <c r="D19" s="82">
        <v>0</v>
      </c>
      <c r="E19" s="82">
        <v>1</v>
      </c>
      <c r="F19" s="82">
        <v>2</v>
      </c>
      <c r="G19" s="82">
        <v>3</v>
      </c>
      <c r="H19" s="82">
        <v>4</v>
      </c>
      <c r="I19" s="82">
        <v>5</v>
      </c>
      <c r="J19" s="82">
        <v>6</v>
      </c>
      <c r="K19" s="82">
        <v>7</v>
      </c>
      <c r="L19" s="82">
        <v>8</v>
      </c>
      <c r="M19" s="82">
        <v>9</v>
      </c>
      <c r="N19" s="82">
        <v>10</v>
      </c>
      <c r="O19" s="82">
        <v>11</v>
      </c>
      <c r="P19" s="82">
        <v>12</v>
      </c>
      <c r="Q19" s="82">
        <v>13</v>
      </c>
      <c r="R19" s="82">
        <v>14</v>
      </c>
      <c r="S19" s="82">
        <v>15</v>
      </c>
      <c r="T19" s="82">
        <v>16</v>
      </c>
      <c r="U19" s="82">
        <v>17</v>
      </c>
      <c r="V19" s="82">
        <v>18</v>
      </c>
      <c r="W19" s="82">
        <v>19</v>
      </c>
      <c r="X19" s="82">
        <v>20</v>
      </c>
      <c r="Y19" s="74"/>
    </row>
    <row r="20" spans="2:25" x14ac:dyDescent="0.25">
      <c r="B20" s="351" t="s">
        <v>216</v>
      </c>
      <c r="C20" s="351"/>
      <c r="D20" s="94">
        <f>FCE!E14</f>
        <v>-38856824.973953441</v>
      </c>
      <c r="E20" s="94">
        <f>FCE!F14</f>
        <v>4380008.0858061155</v>
      </c>
      <c r="F20" s="94">
        <f>FCE!G14</f>
        <v>4705197.0239203367</v>
      </c>
      <c r="G20" s="94">
        <f>FCE!H14</f>
        <v>5222611.9160547862</v>
      </c>
      <c r="H20" s="94">
        <f>FCE!I14</f>
        <v>5981656.7873643581</v>
      </c>
      <c r="I20" s="94">
        <f>FCE!J14</f>
        <v>7060094.5877863094</v>
      </c>
      <c r="J20" s="94">
        <f>FCE!K14</f>
        <v>8577627.6108665541</v>
      </c>
      <c r="K20" s="94">
        <f>FCE!L14</f>
        <v>10718253.997417934</v>
      </c>
      <c r="L20" s="94">
        <f>FCE!M14</f>
        <v>13767238.637077592</v>
      </c>
      <c r="M20" s="94">
        <f>FCE!N14</f>
        <v>18173000.176600065</v>
      </c>
      <c r="N20" s="94">
        <f>FCE!O14</f>
        <v>24652349.927744988</v>
      </c>
      <c r="O20" s="94">
        <f>FCE!P14</f>
        <v>34372627.057553485</v>
      </c>
      <c r="P20" s="94">
        <f>FCE!Q14</f>
        <v>49272861.937329948</v>
      </c>
      <c r="Q20" s="94">
        <f>FCE!R14</f>
        <v>72641205.334806576</v>
      </c>
      <c r="R20" s="94">
        <f>FCE!S14</f>
        <v>110174107.91042416</v>
      </c>
      <c r="S20" s="94">
        <f>FCE!T14</f>
        <v>171959498.80303049</v>
      </c>
      <c r="T20" s="94">
        <f>FCE!U14</f>
        <v>276268885.66318351</v>
      </c>
      <c r="U20" s="94">
        <f>FCE!V14</f>
        <v>276291014.81632608</v>
      </c>
      <c r="V20" s="94">
        <f>FCE!W14</f>
        <v>276313880.87110537</v>
      </c>
      <c r="W20" s="94">
        <f>FCE!X14</f>
        <v>276337508.27143598</v>
      </c>
      <c r="X20" s="94">
        <f>FCE!Y14</f>
        <v>283047882.11931586</v>
      </c>
      <c r="Y20" s="160"/>
    </row>
    <row r="21" spans="2:25" ht="31.5" customHeight="1" x14ac:dyDescent="0.25">
      <c r="B21" s="351" t="s">
        <v>217</v>
      </c>
      <c r="C21" s="351"/>
      <c r="D21" s="94">
        <f>E14</f>
        <v>23314094.984372064</v>
      </c>
      <c r="E21" s="94">
        <f t="shared" ref="E21:X21" si="7">F14</f>
        <v>-3372621.5074479976</v>
      </c>
      <c r="F21" s="94">
        <f t="shared" si="7"/>
        <v>-3166708.5373249264</v>
      </c>
      <c r="G21" s="94">
        <f t="shared" si="7"/>
        <v>-2969929.3801879073</v>
      </c>
      <c r="H21" s="94">
        <f t="shared" si="7"/>
        <v>-2781926.6527120015</v>
      </c>
      <c r="I21" s="94">
        <f t="shared" si="7"/>
        <v>-2602356.0414731037</v>
      </c>
      <c r="J21" s="94">
        <f t="shared" si="7"/>
        <v>-2430885.8447757494</v>
      </c>
      <c r="K21" s="94">
        <f t="shared" si="7"/>
        <v>-2267196.5300828908</v>
      </c>
      <c r="L21" s="94">
        <f t="shared" si="7"/>
        <v>-2110980.3065274833</v>
      </c>
      <c r="M21" s="94">
        <f t="shared" si="7"/>
        <v>-1961940.7120027565</v>
      </c>
      <c r="N21" s="94">
        <f t="shared" si="7"/>
        <v>-1819792.2143446086</v>
      </c>
      <c r="O21" s="94">
        <f t="shared" si="7"/>
        <v>0</v>
      </c>
      <c r="P21" s="94">
        <f t="shared" si="7"/>
        <v>0</v>
      </c>
      <c r="Q21" s="94">
        <f t="shared" si="7"/>
        <v>0</v>
      </c>
      <c r="R21" s="94">
        <f t="shared" si="7"/>
        <v>0</v>
      </c>
      <c r="S21" s="94">
        <f t="shared" si="7"/>
        <v>0</v>
      </c>
      <c r="T21" s="94">
        <f t="shared" si="7"/>
        <v>0</v>
      </c>
      <c r="U21" s="94">
        <f t="shared" si="7"/>
        <v>0</v>
      </c>
      <c r="V21" s="94">
        <f t="shared" si="7"/>
        <v>0</v>
      </c>
      <c r="W21" s="94">
        <f t="shared" si="7"/>
        <v>0</v>
      </c>
      <c r="X21" s="94">
        <f t="shared" si="7"/>
        <v>0</v>
      </c>
      <c r="Y21" s="160"/>
    </row>
    <row r="22" spans="2:25" x14ac:dyDescent="0.25">
      <c r="B22" s="306" t="s">
        <v>174</v>
      </c>
      <c r="C22" s="306"/>
      <c r="D22" s="106">
        <f t="shared" ref="D22:X22" si="8">D20+D21</f>
        <v>-15542729.989581376</v>
      </c>
      <c r="E22" s="106">
        <f t="shared" si="8"/>
        <v>1007386.578358118</v>
      </c>
      <c r="F22" s="106">
        <f t="shared" si="8"/>
        <v>1538488.4865954104</v>
      </c>
      <c r="G22" s="106">
        <f t="shared" si="8"/>
        <v>2252682.5358668789</v>
      </c>
      <c r="H22" s="106">
        <f t="shared" si="8"/>
        <v>3199730.1346523566</v>
      </c>
      <c r="I22" s="106">
        <f t="shared" si="8"/>
        <v>4457738.5463132057</v>
      </c>
      <c r="J22" s="106">
        <f t="shared" si="8"/>
        <v>6146741.7660908047</v>
      </c>
      <c r="K22" s="106">
        <f t="shared" si="8"/>
        <v>8451057.4673350435</v>
      </c>
      <c r="L22" s="106">
        <f t="shared" si="8"/>
        <v>11656258.330550108</v>
      </c>
      <c r="M22" s="106">
        <f t="shared" si="8"/>
        <v>16211059.464597309</v>
      </c>
      <c r="N22" s="106">
        <f t="shared" si="8"/>
        <v>22832557.713400379</v>
      </c>
      <c r="O22" s="106">
        <f t="shared" si="8"/>
        <v>34372627.057553485</v>
      </c>
      <c r="P22" s="106">
        <f t="shared" si="8"/>
        <v>49272861.937329948</v>
      </c>
      <c r="Q22" s="106">
        <f t="shared" si="8"/>
        <v>72641205.334806576</v>
      </c>
      <c r="R22" s="106">
        <f t="shared" si="8"/>
        <v>110174107.91042416</v>
      </c>
      <c r="S22" s="106">
        <f t="shared" si="8"/>
        <v>171959498.80303049</v>
      </c>
      <c r="T22" s="106">
        <f t="shared" si="8"/>
        <v>276268885.66318351</v>
      </c>
      <c r="U22" s="106">
        <f t="shared" si="8"/>
        <v>276291014.81632608</v>
      </c>
      <c r="V22" s="106">
        <f t="shared" si="8"/>
        <v>276313880.87110537</v>
      </c>
      <c r="W22" s="106">
        <f t="shared" si="8"/>
        <v>276337508.27143598</v>
      </c>
      <c r="X22" s="106">
        <f t="shared" si="8"/>
        <v>283047882.11931586</v>
      </c>
      <c r="Y22" s="160"/>
    </row>
    <row r="24" spans="2:25" s="302" customFormat="1" x14ac:dyDescent="0.25"/>
    <row r="25" spans="2:25" s="302" customFormat="1" x14ac:dyDescent="0.25">
      <c r="D25" s="301">
        <v>0</v>
      </c>
      <c r="E25" s="301">
        <v>1</v>
      </c>
      <c r="F25" s="301">
        <v>2</v>
      </c>
      <c r="G25" s="301">
        <v>3</v>
      </c>
      <c r="H25" s="301">
        <v>4</v>
      </c>
      <c r="I25" s="301">
        <v>5</v>
      </c>
      <c r="J25" s="301">
        <v>6</v>
      </c>
      <c r="K25" s="301">
        <v>7</v>
      </c>
      <c r="L25" s="301">
        <v>8</v>
      </c>
      <c r="M25" s="301">
        <v>9</v>
      </c>
      <c r="N25" s="301">
        <v>10</v>
      </c>
      <c r="O25" s="301">
        <v>20</v>
      </c>
    </row>
    <row r="26" spans="2:25" s="302" customFormat="1" ht="15" customHeight="1" x14ac:dyDescent="0.25">
      <c r="B26" s="302" t="s">
        <v>216</v>
      </c>
      <c r="D26" s="302">
        <v>-38856824.973953441</v>
      </c>
      <c r="E26" s="302">
        <v>4380008.0858061155</v>
      </c>
      <c r="F26" s="302">
        <v>4705197.0239203367</v>
      </c>
      <c r="G26" s="302">
        <v>5222611.9160547862</v>
      </c>
      <c r="H26" s="302">
        <v>5981656.7873643581</v>
      </c>
      <c r="I26" s="302">
        <v>7060094.5877863094</v>
      </c>
      <c r="J26" s="302">
        <v>8577627.6108665541</v>
      </c>
      <c r="K26" s="302">
        <v>10718253.997417934</v>
      </c>
      <c r="L26" s="302">
        <v>13767238.637077592</v>
      </c>
      <c r="M26" s="302">
        <v>18173000.176600065</v>
      </c>
      <c r="N26" s="302">
        <v>24652349.927744988</v>
      </c>
      <c r="O26" s="302">
        <v>283047882.11931586</v>
      </c>
    </row>
    <row r="27" spans="2:25" s="302" customFormat="1" ht="15" customHeight="1" x14ac:dyDescent="0.25">
      <c r="B27" s="302" t="s">
        <v>217</v>
      </c>
      <c r="D27" s="302">
        <v>23314094.984372064</v>
      </c>
      <c r="E27" s="302">
        <v>-3473800.1526714377</v>
      </c>
      <c r="F27" s="302">
        <v>-3359561.0872480143</v>
      </c>
      <c r="G27" s="302">
        <v>-3245322.0218245913</v>
      </c>
      <c r="H27" s="302">
        <v>-3131082.9564011684</v>
      </c>
      <c r="I27" s="302">
        <v>-3016843.8909777449</v>
      </c>
      <c r="J27" s="302">
        <v>-2902604.825554322</v>
      </c>
      <c r="K27" s="302">
        <v>-2788365.7601308981</v>
      </c>
      <c r="L27" s="302">
        <v>-2674126.6947074756</v>
      </c>
      <c r="M27" s="302">
        <v>-2559887.6292840522</v>
      </c>
      <c r="N27" s="302">
        <v>-2445648.5638606292</v>
      </c>
      <c r="O27" s="302">
        <v>0</v>
      </c>
    </row>
    <row r="28" spans="2:25" s="302" customFormat="1" ht="15" customHeight="1" x14ac:dyDescent="0.25">
      <c r="B28" s="306" t="s">
        <v>174</v>
      </c>
      <c r="C28" s="306"/>
      <c r="D28" s="133">
        <v>-15542729.989581376</v>
      </c>
      <c r="E28" s="133">
        <v>906207.93313467782</v>
      </c>
      <c r="F28" s="133">
        <v>1345635.9366723225</v>
      </c>
      <c r="G28" s="133">
        <v>1977289.8942301949</v>
      </c>
      <c r="H28" s="133">
        <v>2850573.8309631897</v>
      </c>
      <c r="I28" s="133">
        <v>4043250.6968085645</v>
      </c>
      <c r="J28" s="133">
        <v>5675022.7853122316</v>
      </c>
      <c r="K28" s="133">
        <v>7929888.2372870361</v>
      </c>
      <c r="L28" s="133">
        <v>11093111.942370117</v>
      </c>
      <c r="M28" s="133">
        <v>15613112.547316013</v>
      </c>
      <c r="N28" s="133">
        <v>22206701.36388436</v>
      </c>
      <c r="O28" s="133">
        <v>283047882.11931586</v>
      </c>
    </row>
    <row r="29" spans="2:25" s="302" customFormat="1" x14ac:dyDescent="0.25"/>
    <row r="30" spans="2:25" s="302" customFormat="1" x14ac:dyDescent="0.25"/>
    <row r="31" spans="2:25" s="302" customFormat="1" x14ac:dyDescent="0.25"/>
    <row r="32" spans="2:25" s="302" customFormat="1" x14ac:dyDescent="0.25"/>
    <row r="34" spans="3:24" x14ac:dyDescent="0.25">
      <c r="D34" s="300" t="s">
        <v>363</v>
      </c>
      <c r="E34" t="s">
        <v>360</v>
      </c>
      <c r="F34" s="77">
        <f>'P y G'!G52</f>
        <v>1862023.6244093501</v>
      </c>
    </row>
    <row r="35" spans="3:24" x14ac:dyDescent="0.25">
      <c r="E35" t="s">
        <v>361</v>
      </c>
      <c r="F35" s="77">
        <f>'P y G'!G48</f>
        <v>1375593.8071625347</v>
      </c>
    </row>
    <row r="36" spans="3:24" x14ac:dyDescent="0.25">
      <c r="E36" t="s">
        <v>362</v>
      </c>
      <c r="F36" s="299">
        <f>F9</f>
        <v>-2331409.4984372063</v>
      </c>
    </row>
    <row r="37" spans="3:24" x14ac:dyDescent="0.25">
      <c r="F37" s="77">
        <f>SUM(F34:F36)</f>
        <v>906207.93313467875</v>
      </c>
    </row>
    <row r="41" spans="3:24" x14ac:dyDescent="0.25">
      <c r="C41" s="298"/>
      <c r="D41" s="297">
        <v>0</v>
      </c>
      <c r="E41" s="297">
        <v>1</v>
      </c>
      <c r="F41" s="297">
        <v>2</v>
      </c>
      <c r="G41" s="297">
        <v>3</v>
      </c>
      <c r="H41" s="297">
        <v>4</v>
      </c>
      <c r="I41" s="297">
        <v>5</v>
      </c>
      <c r="J41" s="297">
        <v>6</v>
      </c>
      <c r="K41" s="297">
        <v>7</v>
      </c>
      <c r="L41" s="297">
        <v>8</v>
      </c>
      <c r="M41" s="297">
        <v>9</v>
      </c>
      <c r="N41" s="297">
        <v>10</v>
      </c>
      <c r="O41" s="297">
        <v>11</v>
      </c>
      <c r="P41" s="297">
        <v>12</v>
      </c>
      <c r="Q41" s="297">
        <v>13</v>
      </c>
      <c r="R41" s="297">
        <v>14</v>
      </c>
      <c r="S41" s="297">
        <v>15</v>
      </c>
      <c r="T41" s="297">
        <v>16</v>
      </c>
      <c r="U41" s="297">
        <v>17</v>
      </c>
      <c r="V41" s="297">
        <v>18</v>
      </c>
      <c r="W41" s="297">
        <v>19</v>
      </c>
      <c r="X41" s="297">
        <v>20</v>
      </c>
    </row>
    <row r="42" spans="3:24" x14ac:dyDescent="0.25">
      <c r="C42" s="298" t="s">
        <v>365</v>
      </c>
      <c r="D42" s="205"/>
      <c r="E42" s="205">
        <f>'P y G'!G52</f>
        <v>1862023.6244093501</v>
      </c>
      <c r="F42" s="205">
        <f>'P y G'!H52</f>
        <v>2301451.6279469938</v>
      </c>
      <c r="G42" s="205">
        <f>'P y G'!I52</f>
        <v>2933105.5855048667</v>
      </c>
      <c r="H42" s="205">
        <f>'P y G'!J52</f>
        <v>3806389.5222378611</v>
      </c>
      <c r="I42" s="205">
        <f>'P y G'!K52</f>
        <v>4999066.3880832363</v>
      </c>
      <c r="J42" s="205">
        <f>'P y G'!L52</f>
        <v>6630838.4765869044</v>
      </c>
      <c r="K42" s="205">
        <f>'P y G'!M52</f>
        <v>8885703.928561708</v>
      </c>
      <c r="L42" s="205">
        <f>'P y G'!N52</f>
        <v>12048927.633644789</v>
      </c>
      <c r="M42" s="205">
        <f>'P y G'!O52</f>
        <v>16568928.238590684</v>
      </c>
      <c r="N42" s="205">
        <f>'P y G'!P52</f>
        <v>23162517.055159032</v>
      </c>
      <c r="O42" s="205">
        <f>'P y G'!Q52</f>
        <v>32997033.250390951</v>
      </c>
      <c r="P42" s="205">
        <f>'P y G'!R52</f>
        <v>47897268.13016741</v>
      </c>
      <c r="Q42" s="205">
        <f>'P y G'!S52</f>
        <v>71265611.527644038</v>
      </c>
      <c r="R42" s="205">
        <f>'P y G'!T52</f>
        <v>108798514.10326162</v>
      </c>
      <c r="S42" s="205">
        <f>'P y G'!U52</f>
        <v>170583904.99586797</v>
      </c>
      <c r="T42" s="205">
        <f>'P y G'!V52</f>
        <v>274893291.85602099</v>
      </c>
      <c r="U42" s="205">
        <f>'P y G'!W52</f>
        <v>274915421.00916356</v>
      </c>
      <c r="V42" s="205">
        <f>'P y G'!X52</f>
        <v>274938287.06394285</v>
      </c>
      <c r="W42" s="205">
        <f>'P y G'!Y52</f>
        <v>274961914.46427345</v>
      </c>
      <c r="X42" s="205">
        <f>'P y G'!Z52</f>
        <v>274986328.46216679</v>
      </c>
    </row>
    <row r="43" spans="3:24" x14ac:dyDescent="0.25">
      <c r="C43" s="298" t="s">
        <v>248</v>
      </c>
      <c r="D43" s="205"/>
      <c r="E43" s="205">
        <f>'P y G'!G48</f>
        <v>1375593.8071625347</v>
      </c>
      <c r="F43" s="205">
        <f>'P y G'!H48</f>
        <v>1375593.8071625347</v>
      </c>
      <c r="G43" s="205">
        <f>'P y G'!I48</f>
        <v>1375593.8071625347</v>
      </c>
      <c r="H43" s="205">
        <f>'P y G'!J48</f>
        <v>1375593.8071625347</v>
      </c>
      <c r="I43" s="205">
        <f>'P y G'!K48</f>
        <v>1375593.8071625347</v>
      </c>
      <c r="J43" s="205">
        <f>'P y G'!L48</f>
        <v>1375593.8071625347</v>
      </c>
      <c r="K43" s="205">
        <f>'P y G'!M48</f>
        <v>1375593.8071625347</v>
      </c>
      <c r="L43" s="205">
        <f>'P y G'!N48</f>
        <v>1375593.8071625347</v>
      </c>
      <c r="M43" s="205">
        <f>'P y G'!O48</f>
        <v>1375593.8071625347</v>
      </c>
      <c r="N43" s="205">
        <f>'P y G'!P48</f>
        <v>1375593.8071625347</v>
      </c>
      <c r="O43" s="205">
        <f>'P y G'!Q48</f>
        <v>1375593.8071625347</v>
      </c>
      <c r="P43" s="205">
        <f>'P y G'!R48</f>
        <v>1375593.8071625347</v>
      </c>
      <c r="Q43" s="205">
        <f>'P y G'!S48</f>
        <v>1375593.8071625347</v>
      </c>
      <c r="R43" s="205">
        <f>'P y G'!T48</f>
        <v>1375593.8071625347</v>
      </c>
      <c r="S43" s="205">
        <f>'P y G'!U48</f>
        <v>1375593.8071625347</v>
      </c>
      <c r="T43" s="205">
        <f>'P y G'!V48</f>
        <v>1375593.8071625347</v>
      </c>
      <c r="U43" s="205">
        <f>'P y G'!W48</f>
        <v>1375593.8071625347</v>
      </c>
      <c r="V43" s="205">
        <f>'P y G'!X48</f>
        <v>1375593.8071625347</v>
      </c>
      <c r="W43" s="205">
        <f>'P y G'!Y48</f>
        <v>1375593.8071625347</v>
      </c>
      <c r="X43" s="205">
        <f>'P y G'!Z48</f>
        <v>1375593.8071625347</v>
      </c>
    </row>
    <row r="44" spans="3:24" x14ac:dyDescent="0.25">
      <c r="C44" s="298" t="s">
        <v>193</v>
      </c>
      <c r="D44" s="205">
        <f>-FCE!E11</f>
        <v>-38856824.973953441</v>
      </c>
      <c r="E44" s="205"/>
      <c r="F44" s="205"/>
      <c r="G44" s="205"/>
      <c r="H44" s="205"/>
      <c r="I44" s="205"/>
      <c r="J44" s="205"/>
      <c r="K44" s="205"/>
      <c r="L44" s="205"/>
      <c r="M44" s="205"/>
      <c r="N44" s="205"/>
      <c r="O44" s="205"/>
      <c r="P44" s="205"/>
      <c r="Q44" s="205"/>
      <c r="R44" s="205"/>
      <c r="S44" s="205"/>
      <c r="T44" s="205"/>
      <c r="U44" s="205"/>
      <c r="V44" s="205"/>
      <c r="W44" s="205"/>
      <c r="X44" s="205"/>
    </row>
    <row r="45" spans="3:24" ht="15" customHeight="1" x14ac:dyDescent="0.25">
      <c r="C45" s="298" t="s">
        <v>367</v>
      </c>
      <c r="D45" s="205"/>
      <c r="E45" s="205"/>
      <c r="F45" s="205"/>
      <c r="G45" s="205"/>
      <c r="H45" s="205"/>
      <c r="I45" s="205"/>
      <c r="J45" s="205"/>
      <c r="K45" s="205"/>
      <c r="L45" s="205"/>
      <c r="M45" s="205"/>
      <c r="N45" s="205"/>
      <c r="O45" s="205"/>
      <c r="P45" s="205"/>
      <c r="Q45" s="205"/>
      <c r="R45" s="205"/>
      <c r="S45" s="205"/>
      <c r="T45" s="205"/>
      <c r="U45" s="205"/>
      <c r="V45" s="205"/>
      <c r="W45" s="205"/>
      <c r="X45" s="205">
        <f>FCE!Y12</f>
        <v>3745644.2577</v>
      </c>
    </row>
    <row r="46" spans="3:24" x14ac:dyDescent="0.25">
      <c r="C46" s="298" t="s">
        <v>89</v>
      </c>
      <c r="D46" s="205"/>
      <c r="E46" s="205"/>
      <c r="F46" s="205"/>
      <c r="G46" s="205"/>
      <c r="H46" s="205"/>
      <c r="I46" s="205"/>
      <c r="J46" s="205"/>
      <c r="K46" s="205"/>
      <c r="L46" s="205"/>
      <c r="M46" s="205"/>
      <c r="N46" s="205"/>
      <c r="O46" s="205"/>
      <c r="P46" s="205"/>
      <c r="Q46" s="205"/>
      <c r="R46" s="205"/>
      <c r="S46" s="205"/>
      <c r="T46" s="205"/>
      <c r="U46" s="205"/>
      <c r="V46" s="205"/>
      <c r="W46" s="205"/>
      <c r="X46" s="205">
        <f>FCE!Y13</f>
        <v>2940315.592286502</v>
      </c>
    </row>
    <row r="47" spans="3:24" ht="15" customHeight="1" x14ac:dyDescent="0.25">
      <c r="C47" s="298" t="s">
        <v>366</v>
      </c>
      <c r="D47" s="205">
        <f>E7</f>
        <v>23314094.984372064</v>
      </c>
      <c r="E47" s="205">
        <f>F9</f>
        <v>-2331409.4984372063</v>
      </c>
      <c r="F47" s="205">
        <f>G9</f>
        <v>-2331409.4984372063</v>
      </c>
      <c r="G47" s="205">
        <f>H9</f>
        <v>-2331409.4984372063</v>
      </c>
      <c r="H47" s="205">
        <f>I9</f>
        <v>-2331409.4984372063</v>
      </c>
      <c r="I47" s="205">
        <f>J9</f>
        <v>-2331409.4984372063</v>
      </c>
      <c r="J47" s="205">
        <f>K9</f>
        <v>-2331409.4984372063</v>
      </c>
      <c r="K47" s="205">
        <f>L9</f>
        <v>-2331409.4984372063</v>
      </c>
      <c r="L47" s="205">
        <f>M9</f>
        <v>-2331409.4984372063</v>
      </c>
      <c r="M47" s="205">
        <f>N9</f>
        <v>-2331409.4984372063</v>
      </c>
      <c r="N47" s="205">
        <f>O9</f>
        <v>-2331409.4984372063</v>
      </c>
      <c r="O47" s="205"/>
      <c r="P47" s="205"/>
      <c r="Q47" s="205"/>
      <c r="R47" s="205"/>
      <c r="S47" s="205"/>
      <c r="T47" s="205"/>
      <c r="U47" s="205"/>
      <c r="V47" s="205"/>
      <c r="W47" s="205"/>
      <c r="X47" s="205"/>
    </row>
    <row r="48" spans="3:24" ht="30" x14ac:dyDescent="0.25">
      <c r="C48" s="148" t="s">
        <v>174</v>
      </c>
      <c r="D48" s="303">
        <f>SUM(D42:D47)</f>
        <v>-15542729.989581376</v>
      </c>
      <c r="E48" s="303">
        <f t="shared" ref="E48:X48" si="9">SUM(E42:E47)</f>
        <v>906207.93313467875</v>
      </c>
      <c r="F48" s="303">
        <f t="shared" si="9"/>
        <v>1345635.9366723225</v>
      </c>
      <c r="G48" s="303">
        <f t="shared" si="9"/>
        <v>1977289.8942301953</v>
      </c>
      <c r="H48" s="303">
        <f t="shared" si="9"/>
        <v>2850573.8309631897</v>
      </c>
      <c r="I48" s="303">
        <f t="shared" si="9"/>
        <v>4043250.6968085645</v>
      </c>
      <c r="J48" s="303">
        <f t="shared" si="9"/>
        <v>5675022.7853122326</v>
      </c>
      <c r="K48" s="303">
        <f t="shared" si="9"/>
        <v>7929888.2372870361</v>
      </c>
      <c r="L48" s="303">
        <f t="shared" si="9"/>
        <v>11093111.942370117</v>
      </c>
      <c r="M48" s="303">
        <f t="shared" si="9"/>
        <v>15613112.547316011</v>
      </c>
      <c r="N48" s="303">
        <f t="shared" si="9"/>
        <v>22206701.36388436</v>
      </c>
      <c r="O48" s="303">
        <f t="shared" si="9"/>
        <v>34372627.057553485</v>
      </c>
      <c r="P48" s="303">
        <f t="shared" si="9"/>
        <v>49272861.937329948</v>
      </c>
      <c r="Q48" s="303">
        <f t="shared" si="9"/>
        <v>72641205.334806576</v>
      </c>
      <c r="R48" s="303">
        <f t="shared" si="9"/>
        <v>110174107.91042416</v>
      </c>
      <c r="S48" s="303">
        <f t="shared" si="9"/>
        <v>171959498.80303049</v>
      </c>
      <c r="T48" s="303">
        <f t="shared" si="9"/>
        <v>276268885.66318351</v>
      </c>
      <c r="U48" s="303">
        <f t="shared" si="9"/>
        <v>276291014.81632608</v>
      </c>
      <c r="V48" s="303">
        <f t="shared" si="9"/>
        <v>276313880.87110537</v>
      </c>
      <c r="W48" s="303">
        <f t="shared" si="9"/>
        <v>276337508.27143598</v>
      </c>
      <c r="X48" s="303">
        <f t="shared" si="9"/>
        <v>283047882.11931586</v>
      </c>
    </row>
  </sheetData>
  <mergeCells count="17">
    <mergeCell ref="B28:C28"/>
    <mergeCell ref="C9:D9"/>
    <mergeCell ref="B2:E3"/>
    <mergeCell ref="C5:D5"/>
    <mergeCell ref="C6:D6"/>
    <mergeCell ref="C7:D7"/>
    <mergeCell ref="C8:D8"/>
    <mergeCell ref="B20:C20"/>
    <mergeCell ref="B21:C21"/>
    <mergeCell ref="B22:C22"/>
    <mergeCell ref="B17:C18"/>
    <mergeCell ref="C10:D10"/>
    <mergeCell ref="C11:D11"/>
    <mergeCell ref="C12:D12"/>
    <mergeCell ref="C13:D13"/>
    <mergeCell ref="C14:D14"/>
    <mergeCell ref="B19:C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0"/>
  <sheetViews>
    <sheetView zoomScale="85" zoomScaleNormal="85" workbookViewId="0">
      <selection activeCell="B25" sqref="B25"/>
    </sheetView>
  </sheetViews>
  <sheetFormatPr baseColWidth="10" defaultRowHeight="15" x14ac:dyDescent="0.25"/>
  <cols>
    <col min="2" max="2" width="25.28515625" bestFit="1" customWidth="1"/>
    <col min="3" max="3" width="17.140625" style="28" bestFit="1" customWidth="1"/>
    <col min="4" max="4" width="16" bestFit="1" customWidth="1"/>
    <col min="5" max="5" width="10.7109375" bestFit="1" customWidth="1"/>
    <col min="6" max="6" width="11.42578125" customWidth="1"/>
    <col min="7" max="7" width="13.7109375" customWidth="1"/>
    <col min="8" max="8" width="16.140625" customWidth="1"/>
    <col min="9" max="16" width="11.42578125" customWidth="1"/>
    <col min="17" max="21" width="12.5703125" bestFit="1" customWidth="1"/>
    <col min="22" max="23" width="13.5703125" bestFit="1" customWidth="1"/>
  </cols>
  <sheetData>
    <row r="1" spans="2:25" x14ac:dyDescent="0.25">
      <c r="B1" s="375" t="s">
        <v>186</v>
      </c>
      <c r="C1" s="375"/>
    </row>
    <row r="2" spans="2:25" ht="15.75" x14ac:dyDescent="0.25">
      <c r="B2" s="375"/>
      <c r="C2" s="375"/>
      <c r="G2" s="48"/>
    </row>
    <row r="3" spans="2:25" ht="15.75" x14ac:dyDescent="0.25">
      <c r="B3" s="48"/>
      <c r="G3" s="48"/>
    </row>
    <row r="4" spans="2:25" ht="15.75" x14ac:dyDescent="0.25">
      <c r="B4" s="134" t="s">
        <v>273</v>
      </c>
      <c r="C4" s="154">
        <v>0</v>
      </c>
      <c r="D4" s="154">
        <v>1</v>
      </c>
      <c r="E4" s="154">
        <v>2</v>
      </c>
      <c r="F4" s="154">
        <v>3</v>
      </c>
      <c r="G4" s="154">
        <v>4</v>
      </c>
      <c r="H4" s="154">
        <v>5</v>
      </c>
      <c r="I4" s="154">
        <v>6</v>
      </c>
      <c r="J4" s="154">
        <v>7</v>
      </c>
      <c r="K4" s="154">
        <v>8</v>
      </c>
      <c r="L4" s="154">
        <v>9</v>
      </c>
      <c r="M4" s="154">
        <v>10</v>
      </c>
      <c r="N4" s="154">
        <v>11</v>
      </c>
      <c r="O4" s="154">
        <v>12</v>
      </c>
      <c r="P4" s="154">
        <v>13</v>
      </c>
      <c r="Q4" s="154">
        <v>14</v>
      </c>
      <c r="R4" s="154">
        <v>15</v>
      </c>
      <c r="S4" s="154">
        <v>16</v>
      </c>
      <c r="T4" s="154">
        <v>17</v>
      </c>
      <c r="U4" s="154">
        <v>18</v>
      </c>
      <c r="V4" s="154">
        <v>19</v>
      </c>
      <c r="W4" s="154">
        <v>20</v>
      </c>
    </row>
    <row r="5" spans="2:25" ht="15.75" x14ac:dyDescent="0.25">
      <c r="B5" s="134" t="s">
        <v>188</v>
      </c>
      <c r="C5" s="79">
        <f>FCE!E14</f>
        <v>-38856824.973953441</v>
      </c>
      <c r="D5" s="79">
        <f>FCE!F14</f>
        <v>4380008.0858061155</v>
      </c>
      <c r="E5" s="79">
        <f>FCE!G14</f>
        <v>4705197.0239203367</v>
      </c>
      <c r="F5" s="79">
        <f>FCE!H14</f>
        <v>5222611.9160547862</v>
      </c>
      <c r="G5" s="79">
        <f>FCE!I14</f>
        <v>5981656.7873643581</v>
      </c>
      <c r="H5" s="79">
        <f>FCE!J14</f>
        <v>7060094.5877863094</v>
      </c>
      <c r="I5" s="79">
        <f>FCE!K14</f>
        <v>8577627.6108665541</v>
      </c>
      <c r="J5" s="79">
        <f>FCE!L14</f>
        <v>10718253.997417934</v>
      </c>
      <c r="K5" s="79">
        <f>FCE!M14</f>
        <v>13767238.637077592</v>
      </c>
      <c r="L5" s="79">
        <f>FCE!N14</f>
        <v>18173000.176600065</v>
      </c>
      <c r="M5" s="79">
        <f>FCE!O14</f>
        <v>24652349.927744988</v>
      </c>
      <c r="N5" s="79">
        <f>FCE!P14</f>
        <v>34372627.057553485</v>
      </c>
      <c r="O5" s="79">
        <f>FCE!Q14</f>
        <v>49272861.937329948</v>
      </c>
      <c r="P5" s="79">
        <f>FCE!R14</f>
        <v>72641205.334806576</v>
      </c>
      <c r="Q5" s="79">
        <f>FCE!S14</f>
        <v>110174107.91042416</v>
      </c>
      <c r="R5" s="79">
        <f>FCE!T14</f>
        <v>171959498.80303049</v>
      </c>
      <c r="S5" s="79">
        <f>FCE!U14</f>
        <v>276268885.66318351</v>
      </c>
      <c r="T5" s="79">
        <f>FCE!V14</f>
        <v>276291014.81632608</v>
      </c>
      <c r="U5" s="79">
        <f>FCE!W14</f>
        <v>276313880.87110537</v>
      </c>
      <c r="V5" s="79">
        <f>FCE!X14</f>
        <v>276337508.27143598</v>
      </c>
      <c r="W5" s="79">
        <f>FCE!Y14</f>
        <v>283047882.11931586</v>
      </c>
      <c r="X5" s="50"/>
      <c r="Y5" s="50"/>
    </row>
    <row r="6" spans="2:25" ht="16.5" thickBot="1" x14ac:dyDescent="0.3">
      <c r="B6" s="58"/>
      <c r="C6" s="57"/>
      <c r="D6" s="57"/>
      <c r="E6" s="57"/>
      <c r="F6" s="57"/>
      <c r="G6" s="57"/>
      <c r="H6" s="57"/>
      <c r="I6" s="57"/>
      <c r="J6" s="57"/>
      <c r="K6" s="57"/>
      <c r="L6" s="57"/>
      <c r="M6" s="57"/>
      <c r="N6" s="57"/>
      <c r="O6" s="57"/>
      <c r="P6" s="57"/>
      <c r="Q6" s="57"/>
      <c r="R6" s="57"/>
      <c r="S6" s="57"/>
      <c r="T6" s="57"/>
      <c r="U6" s="57"/>
      <c r="V6" s="57"/>
      <c r="W6" s="57"/>
      <c r="X6" s="50"/>
      <c r="Y6" s="50"/>
    </row>
    <row r="7" spans="2:25" ht="18.75" x14ac:dyDescent="0.3">
      <c r="B7" s="136" t="s">
        <v>166</v>
      </c>
      <c r="C7" s="137">
        <f>WACC!C29</f>
        <v>0.11949439999999997</v>
      </c>
      <c r="D7" s="53">
        <v>0.12</v>
      </c>
      <c r="E7" s="57"/>
      <c r="F7" s="57"/>
      <c r="G7" s="57"/>
      <c r="H7" s="57"/>
      <c r="I7" s="57"/>
      <c r="J7" s="57"/>
      <c r="K7" s="57"/>
      <c r="L7" s="57"/>
      <c r="M7" s="57"/>
      <c r="N7" s="57"/>
      <c r="O7" s="57"/>
      <c r="P7" s="57"/>
      <c r="Q7" s="57"/>
      <c r="R7" s="57"/>
      <c r="S7" s="57"/>
      <c r="T7" s="57"/>
      <c r="U7" s="57"/>
      <c r="V7" s="57"/>
      <c r="W7" s="57"/>
      <c r="X7" s="50"/>
      <c r="Y7" s="50"/>
    </row>
    <row r="8" spans="2:25" ht="18.75" x14ac:dyDescent="0.3">
      <c r="B8" s="138" t="s">
        <v>275</v>
      </c>
      <c r="C8" s="141">
        <f>NPV(C7,D5:W5)+C5</f>
        <v>287556795.13832718</v>
      </c>
      <c r="D8" s="135">
        <f>NPV(D7,D5:W5)+C5</f>
        <v>285375747.30603802</v>
      </c>
      <c r="G8" s="48"/>
    </row>
    <row r="9" spans="2:25" ht="19.5" thickBot="1" x14ac:dyDescent="0.35">
      <c r="B9" s="139" t="s">
        <v>276</v>
      </c>
      <c r="C9" s="142">
        <f>IRR(C5:W5)</f>
        <v>0.32404953879582021</v>
      </c>
      <c r="D9" s="68">
        <f>IRR(C5:W5)</f>
        <v>0.32404953879582021</v>
      </c>
      <c r="G9" s="48"/>
    </row>
    <row r="10" spans="2:25" ht="15.75" x14ac:dyDescent="0.25">
      <c r="B10" s="48"/>
      <c r="G10" s="48"/>
    </row>
    <row r="11" spans="2:25" ht="15.75" x14ac:dyDescent="0.25">
      <c r="B11" s="48"/>
      <c r="G11" s="48"/>
    </row>
    <row r="12" spans="2:25" ht="15.75" x14ac:dyDescent="0.25">
      <c r="B12" s="48"/>
      <c r="G12" s="48"/>
    </row>
    <row r="13" spans="2:25" ht="15.75" x14ac:dyDescent="0.25">
      <c r="B13" s="48"/>
      <c r="G13" s="48"/>
    </row>
    <row r="14" spans="2:25" ht="15.75" x14ac:dyDescent="0.25">
      <c r="B14" s="376" t="s">
        <v>187</v>
      </c>
      <c r="C14" s="376"/>
      <c r="G14" s="48"/>
    </row>
    <row r="15" spans="2:25" ht="15.75" x14ac:dyDescent="0.25">
      <c r="B15" s="376"/>
      <c r="C15" s="376"/>
      <c r="G15" s="48"/>
    </row>
    <row r="16" spans="2:25" ht="15.75" x14ac:dyDescent="0.25">
      <c r="B16" s="48"/>
      <c r="G16" s="48"/>
    </row>
    <row r="17" spans="2:23" ht="15.75" x14ac:dyDescent="0.25">
      <c r="B17" s="134" t="s">
        <v>273</v>
      </c>
      <c r="C17" s="154">
        <v>0</v>
      </c>
      <c r="D17" s="154">
        <v>1</v>
      </c>
      <c r="E17" s="154">
        <v>2</v>
      </c>
      <c r="F17" s="154">
        <v>3</v>
      </c>
      <c r="G17" s="154">
        <v>4</v>
      </c>
      <c r="H17" s="154">
        <v>5</v>
      </c>
      <c r="I17" s="154">
        <v>6</v>
      </c>
      <c r="J17" s="154">
        <v>7</v>
      </c>
      <c r="K17" s="154">
        <v>8</v>
      </c>
      <c r="L17" s="154">
        <v>9</v>
      </c>
      <c r="M17" s="154">
        <v>10</v>
      </c>
      <c r="N17" s="154">
        <v>11</v>
      </c>
      <c r="O17" s="154">
        <v>12</v>
      </c>
      <c r="P17" s="154">
        <v>13</v>
      </c>
      <c r="Q17" s="154">
        <v>14</v>
      </c>
      <c r="R17" s="154">
        <v>15</v>
      </c>
      <c r="S17" s="154">
        <v>16</v>
      </c>
      <c r="T17" s="154">
        <v>17</v>
      </c>
      <c r="U17" s="154">
        <v>18</v>
      </c>
      <c r="V17" s="154">
        <v>19</v>
      </c>
      <c r="W17" s="154">
        <v>20</v>
      </c>
    </row>
    <row r="18" spans="2:23" ht="15.75" x14ac:dyDescent="0.25">
      <c r="B18" s="134" t="s">
        <v>189</v>
      </c>
      <c r="C18" s="79">
        <f>FFF!D22</f>
        <v>-15542729.989581376</v>
      </c>
      <c r="D18" s="79">
        <f>FFF!E22</f>
        <v>1007386.578358118</v>
      </c>
      <c r="E18" s="79">
        <f>FFF!F22</f>
        <v>1538488.4865954104</v>
      </c>
      <c r="F18" s="79">
        <f>FFF!G22</f>
        <v>2252682.5358668789</v>
      </c>
      <c r="G18" s="79">
        <f>FFF!H22</f>
        <v>3199730.1346523566</v>
      </c>
      <c r="H18" s="79">
        <f>FFF!I22</f>
        <v>4457738.5463132057</v>
      </c>
      <c r="I18" s="79">
        <f>FFF!J22</f>
        <v>6146741.7660908047</v>
      </c>
      <c r="J18" s="79">
        <f>FFF!K22</f>
        <v>8451057.4673350435</v>
      </c>
      <c r="K18" s="79">
        <f>FFF!L22</f>
        <v>11656258.330550108</v>
      </c>
      <c r="L18" s="79">
        <f>FFF!M22</f>
        <v>16211059.464597309</v>
      </c>
      <c r="M18" s="79">
        <f>FFF!N22</f>
        <v>22832557.713400379</v>
      </c>
      <c r="N18" s="79">
        <f>FFF!O22</f>
        <v>34372627.057553485</v>
      </c>
      <c r="O18" s="79">
        <f>FFF!P22</f>
        <v>49272861.937329948</v>
      </c>
      <c r="P18" s="79">
        <f>FFF!Q22</f>
        <v>72641205.334806576</v>
      </c>
      <c r="Q18" s="79">
        <f>FFF!R22</f>
        <v>110174107.91042416</v>
      </c>
      <c r="R18" s="79">
        <f>FFF!S22</f>
        <v>171959498.80303049</v>
      </c>
      <c r="S18" s="79">
        <f>FFF!T22</f>
        <v>276268885.66318351</v>
      </c>
      <c r="T18" s="79">
        <f>FFF!U22</f>
        <v>276291014.81632608</v>
      </c>
      <c r="U18" s="79">
        <f>FFF!V22</f>
        <v>276313880.87110537</v>
      </c>
      <c r="V18" s="79">
        <f>FFF!W22</f>
        <v>276337508.27143598</v>
      </c>
      <c r="W18" s="79">
        <f>FFF!X22</f>
        <v>283047882.11931586</v>
      </c>
    </row>
    <row r="19" spans="2:23" ht="16.5" thickBot="1" x14ac:dyDescent="0.3">
      <c r="B19" s="58"/>
      <c r="C19" s="57"/>
      <c r="D19" s="57"/>
      <c r="E19" s="57"/>
      <c r="F19" s="57"/>
      <c r="G19" s="57"/>
      <c r="H19" s="57"/>
      <c r="I19" s="57"/>
      <c r="J19" s="57"/>
      <c r="K19" s="57"/>
      <c r="L19" s="57"/>
      <c r="M19" s="57"/>
      <c r="N19" s="57"/>
      <c r="O19" s="57"/>
      <c r="P19" s="57"/>
      <c r="Q19" s="57"/>
      <c r="R19" s="57"/>
      <c r="S19" s="57"/>
      <c r="T19" s="57"/>
      <c r="U19" s="57"/>
      <c r="V19" s="57"/>
      <c r="W19" s="57"/>
    </row>
    <row r="20" spans="2:23" ht="18.75" x14ac:dyDescent="0.3">
      <c r="B20" s="136" t="s">
        <v>274</v>
      </c>
      <c r="C20" s="140">
        <f>'NUEVO WACC'!M10</f>
        <v>20.869546808354876</v>
      </c>
      <c r="D20" s="24"/>
      <c r="E20" s="57"/>
      <c r="F20" s="57"/>
      <c r="G20" s="57"/>
      <c r="H20" s="57"/>
      <c r="I20" s="57"/>
      <c r="J20" s="57"/>
      <c r="K20" s="57"/>
      <c r="L20" s="57"/>
      <c r="M20" s="57"/>
      <c r="N20" s="57"/>
      <c r="O20" s="57"/>
      <c r="P20" s="57"/>
      <c r="Q20" s="57"/>
      <c r="R20" s="57"/>
      <c r="S20" s="57"/>
      <c r="T20" s="57"/>
      <c r="U20" s="57"/>
      <c r="V20" s="57"/>
      <c r="W20" s="57"/>
    </row>
    <row r="21" spans="2:23" ht="18.75" x14ac:dyDescent="0.3">
      <c r="B21" s="138" t="s">
        <v>277</v>
      </c>
      <c r="C21" s="141">
        <f>NPV(C20%,D18:W18)+C18</f>
        <v>84659339.586352319</v>
      </c>
      <c r="D21" s="63"/>
      <c r="G21" s="48"/>
    </row>
    <row r="22" spans="2:23" ht="19.5" thickBot="1" x14ac:dyDescent="0.35">
      <c r="B22" s="139" t="s">
        <v>278</v>
      </c>
      <c r="C22" s="142">
        <f>IRR(C18:W18)</f>
        <v>0.40667071299903745</v>
      </c>
      <c r="D22" s="65"/>
      <c r="G22" s="48"/>
    </row>
    <row r="23" spans="2:23" ht="15.75" x14ac:dyDescent="0.25">
      <c r="B23" s="48"/>
      <c r="G23" s="48"/>
    </row>
    <row r="24" spans="2:23" ht="15.75" x14ac:dyDescent="0.25">
      <c r="B24" s="48"/>
      <c r="G24" s="48"/>
    </row>
    <row r="25" spans="2:23" ht="15.75" x14ac:dyDescent="0.25">
      <c r="B25" s="48"/>
      <c r="G25" s="48"/>
    </row>
    <row r="26" spans="2:23" ht="15.75" x14ac:dyDescent="0.25">
      <c r="B26" s="48"/>
      <c r="G26" s="48"/>
    </row>
    <row r="27" spans="2:23" x14ac:dyDescent="0.25">
      <c r="B27" s="24"/>
      <c r="C27" s="61"/>
      <c r="D27" s="24"/>
      <c r="E27" s="24"/>
      <c r="F27" s="24"/>
      <c r="G27" s="24"/>
      <c r="H27" s="62"/>
      <c r="I27" s="24"/>
      <c r="J27" s="24"/>
      <c r="K27" s="24"/>
    </row>
    <row r="28" spans="2:23" x14ac:dyDescent="0.25">
      <c r="B28" s="24"/>
      <c r="C28" s="61"/>
      <c r="D28" s="24"/>
      <c r="E28" s="24"/>
      <c r="F28" s="24"/>
      <c r="G28" s="24"/>
      <c r="H28" s="62"/>
      <c r="I28" s="24"/>
      <c r="J28" s="24"/>
      <c r="K28" s="24"/>
    </row>
    <row r="29" spans="2:23" x14ac:dyDescent="0.25">
      <c r="B29" s="24"/>
      <c r="C29" s="61"/>
      <c r="D29" s="24"/>
      <c r="E29" s="24"/>
      <c r="F29" s="24"/>
      <c r="G29" s="24"/>
      <c r="H29" s="62"/>
      <c r="I29" s="24"/>
      <c r="J29" s="24"/>
      <c r="K29" s="24"/>
    </row>
    <row r="30" spans="2:23" x14ac:dyDescent="0.25">
      <c r="B30" s="24"/>
      <c r="C30" s="61"/>
      <c r="D30" s="24"/>
      <c r="E30" s="24"/>
      <c r="F30" s="24"/>
      <c r="G30" s="24"/>
      <c r="H30" s="62"/>
      <c r="I30" s="24"/>
      <c r="J30" s="24"/>
      <c r="K30" s="24"/>
    </row>
    <row r="31" spans="2:23" x14ac:dyDescent="0.25">
      <c r="B31" s="24"/>
      <c r="C31" s="61"/>
      <c r="D31" s="24"/>
      <c r="E31" s="24"/>
      <c r="F31" s="24"/>
      <c r="G31" s="24"/>
      <c r="H31" s="62"/>
      <c r="I31" s="24"/>
      <c r="J31" s="24"/>
      <c r="K31" s="24"/>
    </row>
    <row r="32" spans="2:23" x14ac:dyDescent="0.25">
      <c r="B32" s="24"/>
      <c r="C32" s="61"/>
      <c r="D32" s="24"/>
      <c r="E32" s="24"/>
      <c r="F32" s="24"/>
      <c r="G32" s="24"/>
      <c r="H32" s="62"/>
      <c r="I32" s="24"/>
      <c r="J32" s="24"/>
      <c r="K32" s="24"/>
    </row>
    <row r="33" spans="2:11" x14ac:dyDescent="0.25">
      <c r="B33" s="24"/>
      <c r="C33" s="61"/>
      <c r="D33" s="24"/>
      <c r="E33" s="24"/>
      <c r="F33" s="24"/>
      <c r="G33" s="24"/>
      <c r="H33" s="62"/>
      <c r="I33" s="24"/>
      <c r="J33" s="24"/>
      <c r="K33" s="24"/>
    </row>
    <row r="34" spans="2:11" x14ac:dyDescent="0.25">
      <c r="B34" s="24"/>
      <c r="C34" s="61"/>
      <c r="D34" s="24"/>
      <c r="E34" s="24"/>
      <c r="F34" s="24"/>
      <c r="G34" s="24"/>
      <c r="H34" s="62"/>
      <c r="I34" s="24"/>
      <c r="J34" s="24"/>
      <c r="K34" s="24"/>
    </row>
    <row r="35" spans="2:11" x14ac:dyDescent="0.25">
      <c r="B35" s="24"/>
      <c r="C35" s="61"/>
      <c r="D35" s="24"/>
      <c r="E35" s="24"/>
      <c r="F35" s="24"/>
      <c r="G35" s="24"/>
      <c r="H35" s="62"/>
      <c r="I35" s="24"/>
      <c r="J35" s="24"/>
      <c r="K35" s="24"/>
    </row>
    <row r="36" spans="2:11" x14ac:dyDescent="0.25">
      <c r="B36" s="24"/>
      <c r="C36" s="61"/>
      <c r="D36" s="24"/>
      <c r="E36" s="24"/>
      <c r="F36" s="24"/>
      <c r="G36" s="24"/>
      <c r="H36" s="62"/>
      <c r="I36" s="24"/>
      <c r="J36" s="24"/>
      <c r="K36" s="24"/>
    </row>
    <row r="37" spans="2:11" x14ac:dyDescent="0.25">
      <c r="B37" s="24"/>
      <c r="C37" s="61"/>
      <c r="D37" s="24"/>
      <c r="E37" s="24"/>
      <c r="F37" s="24"/>
      <c r="G37" s="24"/>
      <c r="H37" s="62"/>
      <c r="I37" s="24"/>
      <c r="J37" s="24"/>
      <c r="K37" s="24"/>
    </row>
    <row r="38" spans="2:11" x14ac:dyDescent="0.25">
      <c r="B38" s="24"/>
      <c r="C38" s="61"/>
      <c r="D38" s="24"/>
      <c r="E38" s="24"/>
      <c r="F38" s="24"/>
      <c r="G38" s="24"/>
      <c r="H38" s="62"/>
      <c r="I38" s="24"/>
      <c r="J38" s="24"/>
      <c r="K38" s="24"/>
    </row>
    <row r="39" spans="2:11" x14ac:dyDescent="0.25">
      <c r="B39" s="24"/>
      <c r="C39" s="61"/>
      <c r="D39" s="24"/>
      <c r="E39" s="24"/>
      <c r="F39" s="24"/>
      <c r="G39" s="24"/>
      <c r="H39" s="62"/>
      <c r="I39" s="24"/>
      <c r="J39" s="24"/>
      <c r="K39" s="24"/>
    </row>
    <row r="40" spans="2:11" x14ac:dyDescent="0.25">
      <c r="B40" s="24"/>
      <c r="C40" s="59"/>
      <c r="D40" s="24"/>
      <c r="E40" s="24"/>
      <c r="F40" s="24"/>
      <c r="G40" s="24"/>
      <c r="H40" s="24"/>
      <c r="I40" s="24"/>
      <c r="J40" s="24"/>
      <c r="K40" s="24"/>
    </row>
    <row r="41" spans="2:11" x14ac:dyDescent="0.25">
      <c r="B41" s="24"/>
      <c r="C41" s="59"/>
      <c r="D41" s="24"/>
      <c r="E41" s="24"/>
      <c r="F41" s="24"/>
      <c r="G41" s="24"/>
      <c r="H41" s="24"/>
      <c r="I41" s="24"/>
      <c r="J41" s="24"/>
      <c r="K41" s="24"/>
    </row>
    <row r="42" spans="2:11" x14ac:dyDescent="0.25">
      <c r="B42" s="24"/>
      <c r="C42" s="52"/>
      <c r="E42" s="24"/>
      <c r="F42" s="24"/>
      <c r="G42" s="24"/>
      <c r="H42" s="24"/>
      <c r="I42" s="24"/>
      <c r="J42" s="24"/>
      <c r="K42" s="24"/>
    </row>
    <row r="43" spans="2:11" x14ac:dyDescent="0.25">
      <c r="E43" s="24"/>
      <c r="F43" s="24"/>
      <c r="G43" s="60"/>
      <c r="H43" s="57"/>
      <c r="I43" s="24"/>
      <c r="J43" s="24"/>
      <c r="K43" s="24"/>
    </row>
    <row r="44" spans="2:11" x14ac:dyDescent="0.25">
      <c r="E44" s="63"/>
      <c r="F44" s="63"/>
      <c r="G44" s="64"/>
      <c r="H44" s="63"/>
      <c r="I44" s="24"/>
      <c r="J44" s="24"/>
      <c r="K44" s="24"/>
    </row>
    <row r="45" spans="2:11" x14ac:dyDescent="0.25">
      <c r="E45" s="24"/>
      <c r="F45" s="24"/>
      <c r="G45" s="73"/>
      <c r="H45" s="253"/>
      <c r="I45" s="24"/>
      <c r="J45" s="24"/>
      <c r="K45" s="24"/>
    </row>
    <row r="46" spans="2:11" x14ac:dyDescent="0.25">
      <c r="E46" s="24"/>
      <c r="F46" s="24"/>
      <c r="G46" s="24"/>
      <c r="H46" s="24"/>
      <c r="I46" s="24"/>
      <c r="J46" s="24"/>
      <c r="K46" s="24"/>
    </row>
    <row r="47" spans="2:11" x14ac:dyDescent="0.25">
      <c r="E47" s="24"/>
      <c r="F47" s="24"/>
      <c r="G47" s="24"/>
      <c r="H47" s="24"/>
      <c r="I47" s="24"/>
      <c r="J47" s="24"/>
      <c r="K47" s="24"/>
    </row>
    <row r="48" spans="2:11" x14ac:dyDescent="0.25">
      <c r="E48" s="24"/>
      <c r="F48" s="24"/>
      <c r="G48" s="24"/>
      <c r="H48" s="24"/>
      <c r="I48" s="24"/>
      <c r="J48" s="24"/>
      <c r="K48" s="24"/>
    </row>
    <row r="49" spans="5:11" x14ac:dyDescent="0.25">
      <c r="E49" s="24"/>
      <c r="F49" s="24"/>
      <c r="G49" s="24"/>
      <c r="H49" s="24"/>
      <c r="I49" s="24"/>
      <c r="J49" s="24"/>
      <c r="K49" s="24"/>
    </row>
    <row r="50" spans="5:11" x14ac:dyDescent="0.25">
      <c r="E50" s="24"/>
      <c r="F50" s="24"/>
      <c r="G50" s="24"/>
      <c r="H50" s="24"/>
      <c r="I50" s="24"/>
      <c r="J50" s="24"/>
      <c r="K50" s="24"/>
    </row>
  </sheetData>
  <mergeCells count="2">
    <mergeCell ref="B1:C2"/>
    <mergeCell ref="B14:C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1"/>
  <sheetViews>
    <sheetView topLeftCell="A43" zoomScale="90" zoomScaleNormal="90" workbookViewId="0">
      <selection activeCell="G51" sqref="G51"/>
    </sheetView>
  </sheetViews>
  <sheetFormatPr baseColWidth="10" defaultRowHeight="15" x14ac:dyDescent="0.25"/>
  <cols>
    <col min="2" max="2" width="28.140625" bestFit="1" customWidth="1"/>
    <col min="3" max="8" width="16.7109375" bestFit="1" customWidth="1"/>
    <col min="9" max="9" width="14.7109375" customWidth="1"/>
    <col min="10" max="10" width="14.7109375" bestFit="1" customWidth="1"/>
  </cols>
  <sheetData>
    <row r="1" spans="2:10" x14ac:dyDescent="0.25">
      <c r="B1" s="376" t="s">
        <v>181</v>
      </c>
      <c r="C1" s="376"/>
    </row>
    <row r="2" spans="2:10" x14ac:dyDescent="0.25">
      <c r="B2" s="376"/>
      <c r="C2" s="376"/>
      <c r="E2" s="67"/>
      <c r="F2" s="143">
        <v>0</v>
      </c>
    </row>
    <row r="3" spans="2:10" x14ac:dyDescent="0.25">
      <c r="E3" s="144" t="s">
        <v>275</v>
      </c>
      <c r="F3" s="109">
        <v>287556795.13832718</v>
      </c>
    </row>
    <row r="4" spans="2:10" x14ac:dyDescent="0.25">
      <c r="B4" s="314" t="s">
        <v>184</v>
      </c>
      <c r="C4" s="314"/>
      <c r="D4" s="37"/>
      <c r="E4" s="148" t="s">
        <v>277</v>
      </c>
      <c r="F4" s="225">
        <v>66162059.223440707</v>
      </c>
    </row>
    <row r="5" spans="2:10" ht="15" customHeight="1" x14ac:dyDescent="0.25">
      <c r="B5" s="314"/>
      <c r="C5" s="314"/>
      <c r="D5" s="37"/>
      <c r="E5" s="37"/>
      <c r="F5" s="37"/>
    </row>
    <row r="6" spans="2:10" ht="15" customHeight="1" x14ac:dyDescent="0.25">
      <c r="G6" s="229"/>
      <c r="I6" s="7"/>
    </row>
    <row r="7" spans="2:10" ht="15" customHeight="1" x14ac:dyDescent="0.25">
      <c r="C7" s="145">
        <v>-0.03</v>
      </c>
      <c r="D7" s="145">
        <v>-0.06</v>
      </c>
      <c r="E7" s="145">
        <v>-0.09</v>
      </c>
      <c r="F7" s="145">
        <v>-0.15</v>
      </c>
      <c r="G7" s="145">
        <v>-0.2</v>
      </c>
      <c r="H7" s="227">
        <v>0.03</v>
      </c>
      <c r="I7" s="145">
        <v>0.06</v>
      </c>
      <c r="J7" s="145">
        <v>0.09</v>
      </c>
    </row>
    <row r="8" spans="2:10" ht="15" customHeight="1" x14ac:dyDescent="0.25">
      <c r="B8" s="83" t="s">
        <v>275</v>
      </c>
      <c r="C8" s="158">
        <v>277445169.27130896</v>
      </c>
      <c r="D8" s="158">
        <v>267333543.40429062</v>
      </c>
      <c r="E8" s="158">
        <v>257221917.53727239</v>
      </c>
      <c r="F8" s="110">
        <v>236998665.80323577</v>
      </c>
      <c r="G8" s="110">
        <v>220145956.024872</v>
      </c>
      <c r="H8" s="228">
        <v>297668421.00534546</v>
      </c>
      <c r="I8" s="158">
        <v>307780046.87236381</v>
      </c>
      <c r="J8" s="158">
        <v>317891672.73938203</v>
      </c>
    </row>
    <row r="9" spans="2:10" x14ac:dyDescent="0.25">
      <c r="B9" s="45"/>
      <c r="C9" s="45"/>
      <c r="D9" s="70">
        <f>C8-D8</f>
        <v>10111625.867018342</v>
      </c>
      <c r="E9" s="70">
        <f t="shared" ref="E9:J9" si="0">D8-E8</f>
        <v>10111625.867018223</v>
      </c>
      <c r="F9" s="70">
        <f t="shared" si="0"/>
        <v>20223251.734036624</v>
      </c>
      <c r="G9" s="230">
        <f t="shared" si="0"/>
        <v>16852709.778363764</v>
      </c>
      <c r="H9" s="70">
        <f t="shared" si="0"/>
        <v>-77522464.980473459</v>
      </c>
      <c r="I9" s="70">
        <f t="shared" si="0"/>
        <v>-10111625.867018342</v>
      </c>
      <c r="J9" s="70">
        <f t="shared" si="0"/>
        <v>-10111625.867018223</v>
      </c>
    </row>
    <row r="10" spans="2:10" ht="15" customHeight="1" x14ac:dyDescent="0.25">
      <c r="B10" s="45"/>
      <c r="C10" s="45"/>
      <c r="G10" s="229"/>
    </row>
    <row r="11" spans="2:10" s="198" customFormat="1" ht="15" customHeight="1" x14ac:dyDescent="0.25">
      <c r="B11" s="45"/>
      <c r="C11" s="45"/>
      <c r="G11" s="221"/>
    </row>
    <row r="12" spans="2:10" s="198" customFormat="1" ht="15" customHeight="1" x14ac:dyDescent="0.25">
      <c r="B12" s="45"/>
      <c r="C12" s="45"/>
      <c r="G12" s="221"/>
    </row>
    <row r="13" spans="2:10" s="198" customFormat="1" ht="15" customHeight="1" x14ac:dyDescent="0.25">
      <c r="B13" s="45"/>
      <c r="C13" s="45"/>
      <c r="G13" s="221"/>
    </row>
    <row r="14" spans="2:10" ht="15" customHeight="1" x14ac:dyDescent="0.25">
      <c r="B14" s="45"/>
      <c r="C14" s="45"/>
    </row>
    <row r="15" spans="2:10" ht="15" customHeight="1" x14ac:dyDescent="0.25">
      <c r="B15" s="314" t="s">
        <v>190</v>
      </c>
      <c r="C15" s="314"/>
      <c r="D15" s="37"/>
      <c r="E15" s="37"/>
      <c r="F15" s="37"/>
    </row>
    <row r="16" spans="2:10" ht="15" customHeight="1" x14ac:dyDescent="0.25">
      <c r="B16" s="314"/>
      <c r="C16" s="314"/>
      <c r="D16" s="37"/>
      <c r="E16" s="37"/>
      <c r="F16" s="37"/>
    </row>
    <row r="17" spans="2:11" ht="15" customHeight="1" x14ac:dyDescent="0.25">
      <c r="G17" s="229"/>
      <c r="I17" s="7"/>
    </row>
    <row r="18" spans="2:11" x14ac:dyDescent="0.25">
      <c r="C18" s="145">
        <v>0.03</v>
      </c>
      <c r="D18" s="145">
        <v>0.05</v>
      </c>
      <c r="E18" s="145">
        <v>0.1</v>
      </c>
      <c r="F18" s="145">
        <v>0.15</v>
      </c>
      <c r="G18" s="145">
        <v>0.2</v>
      </c>
      <c r="H18" s="227">
        <v>-0.03</v>
      </c>
      <c r="I18" s="145">
        <v>-0.05</v>
      </c>
      <c r="J18" s="145">
        <v>-0.1</v>
      </c>
      <c r="K18" s="45"/>
    </row>
    <row r="19" spans="2:11" ht="15" customHeight="1" x14ac:dyDescent="0.25">
      <c r="B19" s="83" t="s">
        <v>275</v>
      </c>
      <c r="C19" s="158">
        <v>287238972.273552</v>
      </c>
      <c r="D19" s="158">
        <v>287027090.36370188</v>
      </c>
      <c r="E19" s="158">
        <v>286497385.58907658</v>
      </c>
      <c r="F19" s="226">
        <v>285967680.81445122</v>
      </c>
      <c r="G19" s="226">
        <v>285437976.03982586</v>
      </c>
      <c r="H19" s="231">
        <v>287874618.0031023</v>
      </c>
      <c r="I19" s="226">
        <v>288086499.91295254</v>
      </c>
      <c r="J19" s="226">
        <v>288616204.68757784</v>
      </c>
    </row>
    <row r="20" spans="2:11" ht="15" customHeight="1" x14ac:dyDescent="0.25">
      <c r="B20" s="45"/>
      <c r="C20" s="45"/>
      <c r="D20" s="70">
        <f>-(C19-D19)</f>
        <v>-211881.90985012054</v>
      </c>
      <c r="E20" s="70">
        <f t="shared" ref="E20:J20" si="1">-(D19-E19)</f>
        <v>-529704.77462530136</v>
      </c>
      <c r="F20" s="70">
        <f t="shared" si="1"/>
        <v>-529704.77462536097</v>
      </c>
      <c r="G20" s="233">
        <f t="shared" si="1"/>
        <v>-529704.77462536097</v>
      </c>
      <c r="H20" s="70">
        <f t="shared" si="1"/>
        <v>2436641.9632764459</v>
      </c>
      <c r="I20" s="70">
        <f t="shared" si="1"/>
        <v>211881.90985023975</v>
      </c>
      <c r="J20" s="70">
        <f t="shared" si="1"/>
        <v>529704.77462530136</v>
      </c>
    </row>
    <row r="21" spans="2:11" ht="15" customHeight="1" x14ac:dyDescent="0.25">
      <c r="G21" s="229"/>
    </row>
    <row r="22" spans="2:11" s="198" customFormat="1" ht="15" customHeight="1" x14ac:dyDescent="0.25">
      <c r="G22" s="221"/>
    </row>
    <row r="23" spans="2:11" s="198" customFormat="1" ht="15" customHeight="1" x14ac:dyDescent="0.25">
      <c r="G23" s="221"/>
    </row>
    <row r="24" spans="2:11" s="198" customFormat="1" ht="15" customHeight="1" x14ac:dyDescent="0.25">
      <c r="G24" s="221"/>
    </row>
    <row r="25" spans="2:11" s="198" customFormat="1" ht="15" customHeight="1" x14ac:dyDescent="0.25">
      <c r="G25" s="221"/>
    </row>
    <row r="26" spans="2:11" s="198" customFormat="1" ht="15" customHeight="1" x14ac:dyDescent="0.25">
      <c r="G26" s="221"/>
    </row>
    <row r="27" spans="2:11" ht="15" customHeight="1" x14ac:dyDescent="0.25"/>
    <row r="28" spans="2:11" ht="15" customHeight="1" x14ac:dyDescent="0.25">
      <c r="B28" s="314" t="s">
        <v>192</v>
      </c>
      <c r="C28" s="314"/>
      <c r="D28" s="37"/>
      <c r="E28" s="148" t="s">
        <v>118</v>
      </c>
      <c r="F28" s="149">
        <v>0.96</v>
      </c>
    </row>
    <row r="29" spans="2:11" ht="15" customHeight="1" x14ac:dyDescent="0.25">
      <c r="B29" s="314"/>
      <c r="C29" s="314"/>
      <c r="D29" s="37"/>
      <c r="E29" s="148" t="s">
        <v>166</v>
      </c>
      <c r="F29" s="150">
        <v>0.11949439999999997</v>
      </c>
    </row>
    <row r="30" spans="2:11" ht="15" customHeight="1" x14ac:dyDescent="0.25">
      <c r="B30" s="69"/>
      <c r="C30" s="69"/>
      <c r="D30" s="69"/>
      <c r="E30" s="148" t="s">
        <v>275</v>
      </c>
      <c r="F30" s="109">
        <f>F3</f>
        <v>287556795.13832718</v>
      </c>
    </row>
    <row r="32" spans="2:11" x14ac:dyDescent="0.25">
      <c r="B32" s="83" t="s">
        <v>118</v>
      </c>
      <c r="C32" s="146">
        <v>0.6</v>
      </c>
      <c r="D32" s="146">
        <v>0.7</v>
      </c>
      <c r="E32" s="146">
        <v>0.8</v>
      </c>
      <c r="F32" s="146">
        <v>0.9</v>
      </c>
      <c r="G32" s="146">
        <v>1</v>
      </c>
      <c r="H32" s="146">
        <v>1.1000000000000001</v>
      </c>
      <c r="I32" s="147">
        <v>1.2</v>
      </c>
      <c r="J32" s="147">
        <v>1.3</v>
      </c>
    </row>
    <row r="33" spans="2:10" x14ac:dyDescent="0.25">
      <c r="B33" s="83" t="s">
        <v>166</v>
      </c>
      <c r="C33" s="51">
        <v>9.307399999999999E-2</v>
      </c>
      <c r="D33" s="51">
        <v>0.10041299999999999</v>
      </c>
      <c r="E33" s="51">
        <v>0.10775199999999999</v>
      </c>
      <c r="F33" s="51">
        <v>0.11509099999999998</v>
      </c>
      <c r="G33" s="51">
        <v>0.12243</v>
      </c>
      <c r="H33" s="51">
        <v>0.129769</v>
      </c>
      <c r="I33" s="51">
        <v>0.13710799999999998</v>
      </c>
      <c r="J33" s="51">
        <v>0.14444699999999999</v>
      </c>
    </row>
    <row r="34" spans="2:10" x14ac:dyDescent="0.25">
      <c r="B34" s="83" t="s">
        <v>275</v>
      </c>
      <c r="C34" s="158">
        <v>429002126.31750369</v>
      </c>
      <c r="D34" s="158">
        <v>383677321.5027889</v>
      </c>
      <c r="E34" s="158">
        <v>343299329.76234192</v>
      </c>
      <c r="F34" s="158">
        <v>307285311.12984091</v>
      </c>
      <c r="G34" s="158">
        <v>275125476.6647464</v>
      </c>
      <c r="H34" s="158">
        <v>246373427.93211561</v>
      </c>
      <c r="I34" s="158">
        <v>220637836.93501192</v>
      </c>
      <c r="J34" s="158">
        <v>197575272.162579</v>
      </c>
    </row>
    <row r="35" spans="2:10" x14ac:dyDescent="0.25">
      <c r="D35" s="70">
        <f>-(C34-D34)</f>
        <v>-45324804.814714789</v>
      </c>
      <c r="E35" s="70">
        <f t="shared" ref="E35:J35" si="2">-(D34-E34)</f>
        <v>-40377991.740446985</v>
      </c>
      <c r="F35" s="70">
        <f t="shared" si="2"/>
        <v>-36014018.632501006</v>
      </c>
      <c r="G35" s="70">
        <f t="shared" si="2"/>
        <v>-32159834.465094507</v>
      </c>
      <c r="H35" s="70">
        <f t="shared" si="2"/>
        <v>-28752048.732630789</v>
      </c>
      <c r="I35" s="70">
        <f t="shared" si="2"/>
        <v>-25735590.997103691</v>
      </c>
      <c r="J35" s="70">
        <f t="shared" si="2"/>
        <v>-23062564.772432923</v>
      </c>
    </row>
    <row r="36" spans="2:10" s="198" customFormat="1" x14ac:dyDescent="0.25">
      <c r="D36" s="70"/>
      <c r="E36" s="70"/>
      <c r="F36" s="70"/>
      <c r="G36" s="70"/>
      <c r="H36" s="70"/>
      <c r="I36" s="70"/>
      <c r="J36" s="70"/>
    </row>
    <row r="37" spans="2:10" s="198" customFormat="1" x14ac:dyDescent="0.25">
      <c r="D37" s="21">
        <f>D33-C33</f>
        <v>7.3389999999999983E-3</v>
      </c>
      <c r="E37" s="70"/>
      <c r="F37" s="70"/>
      <c r="G37" s="70"/>
      <c r="H37" s="70"/>
      <c r="I37" s="70"/>
      <c r="J37" s="70"/>
    </row>
    <row r="38" spans="2:10" s="198" customFormat="1" x14ac:dyDescent="0.25">
      <c r="D38" s="21">
        <f>(D34-C34)/D34</f>
        <v>-0.11813261372130729</v>
      </c>
      <c r="E38" s="70"/>
      <c r="F38" s="70"/>
      <c r="G38" s="70"/>
      <c r="H38" s="70"/>
      <c r="I38" s="70"/>
      <c r="J38" s="70"/>
    </row>
    <row r="39" spans="2:10" x14ac:dyDescent="0.25">
      <c r="C39" s="15"/>
      <c r="D39" s="15"/>
      <c r="E39" s="15"/>
      <c r="F39" s="15"/>
      <c r="G39" s="15"/>
      <c r="H39" s="15"/>
      <c r="I39" s="15"/>
      <c r="J39" s="15"/>
    </row>
    <row r="41" spans="2:10" x14ac:dyDescent="0.25">
      <c r="B41" s="315" t="s">
        <v>193</v>
      </c>
      <c r="C41" s="315"/>
      <c r="D41" s="152"/>
      <c r="E41" s="83" t="s">
        <v>169</v>
      </c>
      <c r="F41" s="109">
        <v>38856824.973953441</v>
      </c>
    </row>
    <row r="42" spans="2:10" x14ac:dyDescent="0.25">
      <c r="B42" s="315"/>
      <c r="C42" s="315"/>
      <c r="D42" s="152"/>
      <c r="E42" s="83" t="s">
        <v>275</v>
      </c>
      <c r="F42" s="109">
        <f>F3</f>
        <v>287556795.13832718</v>
      </c>
    </row>
    <row r="43" spans="2:10" x14ac:dyDescent="0.25">
      <c r="F43" s="232"/>
    </row>
    <row r="44" spans="2:10" x14ac:dyDescent="0.25">
      <c r="C44" s="145">
        <v>0.1</v>
      </c>
      <c r="D44" s="145">
        <v>0.15</v>
      </c>
      <c r="E44" s="145">
        <v>0.2</v>
      </c>
      <c r="F44" s="145">
        <v>0.3</v>
      </c>
      <c r="G44" s="227">
        <v>-0.1</v>
      </c>
      <c r="H44" s="145">
        <v>-0.15</v>
      </c>
      <c r="I44" s="145">
        <v>-0.2</v>
      </c>
      <c r="J44" s="145">
        <v>-0.3</v>
      </c>
    </row>
    <row r="45" spans="2:10" x14ac:dyDescent="0.25">
      <c r="B45" s="83" t="s">
        <v>275</v>
      </c>
      <c r="C45" s="158">
        <v>283671112.64093184</v>
      </c>
      <c r="D45" s="158">
        <v>281728271.39223415</v>
      </c>
      <c r="E45" s="158">
        <v>279785430.14353645</v>
      </c>
      <c r="F45" s="158">
        <v>275899747.64614111</v>
      </c>
      <c r="G45" s="228">
        <v>291442477.63572252</v>
      </c>
      <c r="H45" s="158">
        <v>293385318.88442016</v>
      </c>
      <c r="I45" s="158">
        <v>295328160.13311785</v>
      </c>
      <c r="J45" s="158">
        <v>299213842.63051319</v>
      </c>
    </row>
    <row r="46" spans="2:10" x14ac:dyDescent="0.25">
      <c r="D46" s="70">
        <f>-(C45-D45)</f>
        <v>-1942841.2486976981</v>
      </c>
      <c r="E46" s="70">
        <f t="shared" ref="E46:J46" si="3">-(D45-E45)</f>
        <v>-1942841.2486976981</v>
      </c>
      <c r="F46" s="230">
        <f t="shared" si="3"/>
        <v>-3885682.4973953366</v>
      </c>
      <c r="G46" s="70">
        <f t="shared" si="3"/>
        <v>15542729.989581406</v>
      </c>
      <c r="H46" s="70">
        <f t="shared" si="3"/>
        <v>1942841.2486976385</v>
      </c>
      <c r="I46" s="70">
        <f t="shared" si="3"/>
        <v>1942841.2486976981</v>
      </c>
      <c r="J46" s="70">
        <f t="shared" si="3"/>
        <v>3885682.4973953366</v>
      </c>
    </row>
    <row r="47" spans="2:10" x14ac:dyDescent="0.25">
      <c r="F47" s="229"/>
    </row>
    <row r="48" spans="2:10" s="198" customFormat="1" x14ac:dyDescent="0.25">
      <c r="F48" s="221"/>
    </row>
    <row r="49" spans="2:10" s="198" customFormat="1" x14ac:dyDescent="0.25">
      <c r="F49" s="221"/>
    </row>
    <row r="50" spans="2:10" s="198" customFormat="1" x14ac:dyDescent="0.25">
      <c r="F50" s="221"/>
    </row>
    <row r="51" spans="2:10" s="198" customFormat="1" x14ac:dyDescent="0.25">
      <c r="F51" s="221"/>
    </row>
    <row r="52" spans="2:10" s="198" customFormat="1" x14ac:dyDescent="0.25">
      <c r="F52" s="221"/>
    </row>
    <row r="54" spans="2:10" x14ac:dyDescent="0.25">
      <c r="B54" s="315" t="s">
        <v>194</v>
      </c>
      <c r="C54" s="315"/>
      <c r="D54" s="153"/>
      <c r="E54" s="73"/>
      <c r="F54" s="151">
        <v>0.6</v>
      </c>
      <c r="H54" s="95"/>
    </row>
    <row r="55" spans="2:10" x14ac:dyDescent="0.25">
      <c r="B55" s="315"/>
      <c r="C55" s="315"/>
      <c r="D55" s="152"/>
      <c r="E55" s="83" t="s">
        <v>275</v>
      </c>
      <c r="F55" s="109">
        <f>F3</f>
        <v>287556795.13832718</v>
      </c>
    </row>
    <row r="56" spans="2:10" x14ac:dyDescent="0.25">
      <c r="B56" s="161"/>
      <c r="C56" s="161"/>
      <c r="D56" s="153"/>
      <c r="E56" s="83" t="s">
        <v>277</v>
      </c>
      <c r="F56" s="109">
        <f>C61</f>
        <v>67341627.020975128</v>
      </c>
    </row>
    <row r="58" spans="2:10" x14ac:dyDescent="0.25">
      <c r="B58" s="83" t="s">
        <v>127</v>
      </c>
      <c r="C58" s="145">
        <v>0.6</v>
      </c>
      <c r="D58" s="145">
        <v>0.55000000000000004</v>
      </c>
      <c r="E58" s="145">
        <v>0.5</v>
      </c>
      <c r="F58" s="145">
        <v>0.4</v>
      </c>
      <c r="G58" s="145">
        <v>0.3</v>
      </c>
      <c r="J58" s="65"/>
    </row>
    <row r="59" spans="2:10" x14ac:dyDescent="0.25">
      <c r="B59" s="83" t="s">
        <v>128</v>
      </c>
      <c r="C59" s="46">
        <v>0.4</v>
      </c>
      <c r="D59" s="46">
        <v>0.45</v>
      </c>
      <c r="E59" s="46">
        <v>0.5</v>
      </c>
      <c r="F59" s="46">
        <v>0.6</v>
      </c>
      <c r="G59" s="46">
        <v>0.7</v>
      </c>
      <c r="J59" s="24"/>
    </row>
    <row r="60" spans="2:10" x14ac:dyDescent="0.25">
      <c r="B60" s="83" t="s">
        <v>257</v>
      </c>
      <c r="C60" s="158">
        <f>F55</f>
        <v>287556795.13832718</v>
      </c>
      <c r="D60" s="158">
        <v>282009125.41941327</v>
      </c>
      <c r="E60" s="158">
        <v>276570168.91161722</v>
      </c>
      <c r="F60" s="158">
        <v>266009146.2566793</v>
      </c>
      <c r="G60" s="158">
        <v>255855754.51930857</v>
      </c>
      <c r="J60" s="62"/>
    </row>
    <row r="61" spans="2:10" x14ac:dyDescent="0.25">
      <c r="B61" s="83" t="s">
        <v>258</v>
      </c>
      <c r="C61" s="158">
        <v>67341627.020975128</v>
      </c>
      <c r="D61" s="158">
        <v>85729889.869933933</v>
      </c>
      <c r="E61" s="158">
        <v>103867895.87266454</v>
      </c>
      <c r="F61" s="158">
        <v>138559993.39675412</v>
      </c>
      <c r="G61" s="158">
        <v>170534773.39855906</v>
      </c>
    </row>
  </sheetData>
  <mergeCells count="6">
    <mergeCell ref="B54:C55"/>
    <mergeCell ref="B1:C2"/>
    <mergeCell ref="B4:C5"/>
    <mergeCell ref="B15:C16"/>
    <mergeCell ref="B28:C29"/>
    <mergeCell ref="B41:C4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93"/>
  <sheetViews>
    <sheetView zoomScale="85" zoomScaleNormal="85" workbookViewId="0">
      <selection activeCell="G9" sqref="G9"/>
    </sheetView>
  </sheetViews>
  <sheetFormatPr baseColWidth="10" defaultRowHeight="15" x14ac:dyDescent="0.25"/>
  <cols>
    <col min="2" max="2" width="5.28515625" customWidth="1"/>
    <col min="4" max="4" width="34.140625" bestFit="1" customWidth="1"/>
    <col min="6" max="6" width="5.28515625" customWidth="1"/>
    <col min="7" max="7" width="14.140625" customWidth="1"/>
    <col min="8" max="8" width="17.7109375" bestFit="1" customWidth="1"/>
    <col min="9" max="9" width="19.42578125" bestFit="1" customWidth="1"/>
    <col min="10" max="17" width="13.5703125" bestFit="1" customWidth="1"/>
    <col min="18" max="18" width="14.5703125" bestFit="1" customWidth="1"/>
    <col min="19" max="26" width="25.140625" bestFit="1" customWidth="1"/>
    <col min="27" max="27" width="26.140625" bestFit="1" customWidth="1"/>
  </cols>
  <sheetData>
    <row r="2" spans="2:27" ht="18.75" customHeight="1" x14ac:dyDescent="0.25">
      <c r="B2" s="382" t="s">
        <v>364</v>
      </c>
      <c r="C2" s="382"/>
      <c r="D2" s="382"/>
      <c r="E2" s="382"/>
    </row>
    <row r="3" spans="2:27" x14ac:dyDescent="0.25">
      <c r="B3" s="382"/>
      <c r="C3" s="382"/>
      <c r="D3" s="382"/>
      <c r="E3" s="382"/>
    </row>
    <row r="4" spans="2:27" ht="18.75" customHeight="1" x14ac:dyDescent="0.25">
      <c r="G4" s="87">
        <v>0</v>
      </c>
      <c r="H4" s="8">
        <v>1</v>
      </c>
      <c r="I4" s="87">
        <v>2</v>
      </c>
      <c r="J4" s="8">
        <v>3</v>
      </c>
      <c r="K4" s="87">
        <v>4</v>
      </c>
      <c r="L4" s="8">
        <v>5</v>
      </c>
      <c r="M4" s="87">
        <v>6</v>
      </c>
      <c r="N4" s="8">
        <v>7</v>
      </c>
      <c r="O4" s="87">
        <v>8</v>
      </c>
      <c r="P4" s="8">
        <v>9</v>
      </c>
      <c r="Q4" s="87">
        <v>10</v>
      </c>
      <c r="R4" s="8">
        <v>11</v>
      </c>
      <c r="S4" s="87">
        <v>12</v>
      </c>
      <c r="T4" s="8">
        <v>13</v>
      </c>
      <c r="U4" s="87">
        <v>14</v>
      </c>
      <c r="V4" s="8">
        <v>15</v>
      </c>
      <c r="W4" s="87">
        <v>16</v>
      </c>
      <c r="X4" s="8">
        <v>17</v>
      </c>
      <c r="Y4" s="87">
        <v>18</v>
      </c>
      <c r="Z4" s="8">
        <v>19</v>
      </c>
      <c r="AA4" s="87">
        <v>20</v>
      </c>
    </row>
    <row r="5" spans="2:27" x14ac:dyDescent="0.25">
      <c r="G5" s="92" t="s">
        <v>279</v>
      </c>
      <c r="H5" s="92" t="s">
        <v>20</v>
      </c>
      <c r="I5" s="92" t="s">
        <v>21</v>
      </c>
      <c r="J5" s="92" t="s">
        <v>22</v>
      </c>
      <c r="K5" s="92" t="s">
        <v>23</v>
      </c>
      <c r="L5" s="92" t="s">
        <v>24</v>
      </c>
      <c r="M5" s="92" t="s">
        <v>25</v>
      </c>
      <c r="N5" s="92" t="s">
        <v>26</v>
      </c>
      <c r="O5" s="92" t="s">
        <v>27</v>
      </c>
      <c r="P5" s="92" t="s">
        <v>28</v>
      </c>
      <c r="Q5" s="92" t="s">
        <v>29</v>
      </c>
      <c r="R5" s="92" t="s">
        <v>30</v>
      </c>
      <c r="S5" s="92" t="s">
        <v>31</v>
      </c>
      <c r="T5" s="92" t="s">
        <v>32</v>
      </c>
      <c r="U5" s="92" t="s">
        <v>33</v>
      </c>
      <c r="V5" s="92" t="s">
        <v>34</v>
      </c>
      <c r="W5" s="92" t="s">
        <v>35</v>
      </c>
      <c r="X5" s="92" t="s">
        <v>36</v>
      </c>
      <c r="Y5" s="92" t="s">
        <v>37</v>
      </c>
      <c r="Z5" s="92" t="s">
        <v>38</v>
      </c>
      <c r="AA5" s="92" t="s">
        <v>39</v>
      </c>
    </row>
    <row r="6" spans="2:27" x14ac:dyDescent="0.25">
      <c r="B6" s="377" t="s">
        <v>107</v>
      </c>
      <c r="C6" s="377"/>
      <c r="D6" s="377"/>
      <c r="E6" s="377"/>
      <c r="F6" s="377"/>
      <c r="G6" s="171"/>
      <c r="H6" s="119">
        <f>'P y G'!G34</f>
        <v>8327021.1682000002</v>
      </c>
      <c r="I6" s="119">
        <f>'P y G'!H34</f>
        <v>8804766.4776774589</v>
      </c>
      <c r="J6" s="119">
        <f>'P y G'!I34</f>
        <v>9557515.9834061004</v>
      </c>
      <c r="K6" s="119">
        <f>'P y G'!J34</f>
        <v>10655858.734893871</v>
      </c>
      <c r="L6" s="119">
        <f>'P y G'!K34</f>
        <v>12210896.887459265</v>
      </c>
      <c r="M6" s="119">
        <f>'P y G'!L34</f>
        <v>14393646.311238242</v>
      </c>
      <c r="N6" s="119">
        <f>'P y G'!M34</f>
        <v>17466974.464557342</v>
      </c>
      <c r="O6" s="119">
        <f>'P y G'!N34</f>
        <v>21838415.978921354</v>
      </c>
      <c r="P6" s="119">
        <f>'P y G'!O34</f>
        <v>28148582.682534892</v>
      </c>
      <c r="Q6" s="119">
        <f>'P y G'!P34</f>
        <v>37421504.909309372</v>
      </c>
      <c r="R6" s="119">
        <f>'P y G'!Q34</f>
        <v>51324824.640214555</v>
      </c>
      <c r="S6" s="119">
        <f>'P y G'!R34</f>
        <v>72628600.300295055</v>
      </c>
      <c r="T6" s="119">
        <f>'P y G'!S34</f>
        <v>106030205.61775921</v>
      </c>
      <c r="U6" s="119">
        <f>'P y G'!T34</f>
        <v>159667443.20362821</v>
      </c>
      <c r="V6" s="119">
        <f>'P y G'!U34</f>
        <v>247951656.83095938</v>
      </c>
      <c r="W6" s="119">
        <f>'P y G'!V34</f>
        <v>396985017.21106541</v>
      </c>
      <c r="X6" s="119">
        <f>'P y G'!W34</f>
        <v>397037179.38426745</v>
      </c>
      <c r="Y6" s="119">
        <f>'P y G'!X34</f>
        <v>397091010.7470119</v>
      </c>
      <c r="Z6" s="119">
        <f>'P y G'!Y34</f>
        <v>397146564.71336424</v>
      </c>
      <c r="AA6" s="119">
        <f>'P y G'!Z34</f>
        <v>397203896.40663981</v>
      </c>
    </row>
    <row r="7" spans="2:27" x14ac:dyDescent="0.25">
      <c r="B7" s="378" t="s">
        <v>220</v>
      </c>
      <c r="C7" s="378"/>
      <c r="D7" s="378"/>
      <c r="E7" s="378"/>
      <c r="F7" s="378"/>
      <c r="G7" s="172"/>
      <c r="H7" s="107">
        <f>'P y G'!G35</f>
        <v>7310748.5153999999</v>
      </c>
      <c r="I7" s="107">
        <f>'P y G'!H35</f>
        <v>7755973.0999878589</v>
      </c>
      <c r="J7" s="107">
        <f>'P y G'!I35</f>
        <v>8475161.2176304329</v>
      </c>
      <c r="K7" s="107">
        <f>'P y G'!J35</f>
        <v>9538868.6166133825</v>
      </c>
      <c r="L7" s="107">
        <f>'P y G'!K35</f>
        <v>11058163.085393801</v>
      </c>
      <c r="M7" s="107">
        <f>'P y G'!L35</f>
        <v>13204025.027506683</v>
      </c>
      <c r="N7" s="107">
        <f>'P y G'!M35</f>
        <v>16239285.299746372</v>
      </c>
      <c r="O7" s="107">
        <f>'P y G'!N35</f>
        <v>20571440.760836434</v>
      </c>
      <c r="P7" s="107">
        <f>'P y G'!O35</f>
        <v>26841064.257471256</v>
      </c>
      <c r="Q7" s="107">
        <f>'P y G'!P35</f>
        <v>36072145.894643702</v>
      </c>
      <c r="R7" s="107">
        <f>'P y G'!Q35</f>
        <v>49932286.137079582</v>
      </c>
      <c r="S7" s="107">
        <f>'P y G'!R35</f>
        <v>71191500.565059766</v>
      </c>
      <c r="T7" s="107">
        <f>'P y G'!S35</f>
        <v>104547118.69099639</v>
      </c>
      <c r="U7" s="107">
        <f>'P y G'!T35</f>
        <v>158136897.49520898</v>
      </c>
      <c r="V7" s="107">
        <f>'P y G'!U35</f>
        <v>246372133.65987074</v>
      </c>
      <c r="W7" s="107">
        <f>'P y G'!V35</f>
        <v>395354949.29850191</v>
      </c>
      <c r="X7" s="107">
        <f>'P y G'!W35</f>
        <v>395354949.29850191</v>
      </c>
      <c r="Y7" s="107">
        <f>'P y G'!X35</f>
        <v>395354949.29850191</v>
      </c>
      <c r="Z7" s="107">
        <f>'P y G'!Y35</f>
        <v>395354949.29850191</v>
      </c>
      <c r="AA7" s="107">
        <f>'P y G'!Z35</f>
        <v>395354949.29850191</v>
      </c>
    </row>
    <row r="8" spans="2:27" x14ac:dyDescent="0.25">
      <c r="B8" s="352" t="s">
        <v>108</v>
      </c>
      <c r="C8" s="352"/>
      <c r="D8" s="352"/>
      <c r="E8" s="352"/>
      <c r="F8" s="352"/>
      <c r="G8" s="173"/>
      <c r="H8" s="107">
        <f>'P y G'!G36</f>
        <v>1016272.6527999999</v>
      </c>
      <c r="I8" s="107">
        <f>'P y G'!H36</f>
        <v>1048793.3776896</v>
      </c>
      <c r="J8" s="107">
        <f>'P y G'!I36</f>
        <v>1082354.765775667</v>
      </c>
      <c r="K8" s="107">
        <f>'P y G'!J36</f>
        <v>1116990.1182804885</v>
      </c>
      <c r="L8" s="107">
        <f>'P y G'!K36</f>
        <v>1152733.8020654642</v>
      </c>
      <c r="M8" s="107">
        <f>'P y G'!L36</f>
        <v>1189621.2837315593</v>
      </c>
      <c r="N8" s="107">
        <f>'P y G'!M36</f>
        <v>1227689.164810969</v>
      </c>
      <c r="O8" s="107">
        <f>'P y G'!N36</f>
        <v>1266975.2180849202</v>
      </c>
      <c r="P8" s="107">
        <f>'P y G'!O36</f>
        <v>1307518.4250636376</v>
      </c>
      <c r="Q8" s="107">
        <f>'P y G'!P36</f>
        <v>1349359.014665674</v>
      </c>
      <c r="R8" s="107">
        <f>'P y G'!Q36</f>
        <v>1392538.5031349757</v>
      </c>
      <c r="S8" s="107">
        <f>'P y G'!R36</f>
        <v>1437099.7352352948</v>
      </c>
      <c r="T8" s="107">
        <f>'P y G'!S36</f>
        <v>1483086.9267628242</v>
      </c>
      <c r="U8" s="107">
        <f>'P y G'!T36</f>
        <v>1530545.7084192347</v>
      </c>
      <c r="V8" s="107">
        <f>'P y G'!U36</f>
        <v>1579523.1710886501</v>
      </c>
      <c r="W8" s="107">
        <f>'P y G'!V36</f>
        <v>1630067.9125634872</v>
      </c>
      <c r="X8" s="107">
        <f>'P y G'!W36</f>
        <v>1682230.0857655189</v>
      </c>
      <c r="Y8" s="107">
        <f>'P y G'!X36</f>
        <v>1736061.4485100156</v>
      </c>
      <c r="Z8" s="107">
        <f>'P y G'!Y36</f>
        <v>1791615.4148623361</v>
      </c>
      <c r="AA8" s="107">
        <f>'P y G'!Z36</f>
        <v>1848947.108137931</v>
      </c>
    </row>
    <row r="9" spans="2:27" x14ac:dyDescent="0.25">
      <c r="B9" s="379" t="s">
        <v>221</v>
      </c>
      <c r="C9" s="379"/>
      <c r="D9" s="379"/>
      <c r="E9" s="379"/>
      <c r="F9" s="379"/>
      <c r="G9" s="174"/>
      <c r="H9" s="119">
        <f>'P y G'!G37</f>
        <v>1927665.1558126726</v>
      </c>
      <c r="I9" s="119">
        <f>'P y G'!H37</f>
        <v>1940854.8394126724</v>
      </c>
      <c r="J9" s="119">
        <f>'P y G'!I37</f>
        <v>1954440.2135206724</v>
      </c>
      <c r="K9" s="119">
        <f>'P y G'!J37</f>
        <v>1968433.1488519125</v>
      </c>
      <c r="L9" s="119">
        <f>'P y G'!K37</f>
        <v>1982845.8722430896</v>
      </c>
      <c r="M9" s="119">
        <f>'P y G'!L37</f>
        <v>1997690.9773360023</v>
      </c>
      <c r="N9" s="119">
        <f>'P y G'!M37</f>
        <v>2012981.4355817023</v>
      </c>
      <c r="O9" s="119">
        <f>'P y G'!N37</f>
        <v>2028730.607574773</v>
      </c>
      <c r="P9" s="119">
        <f>'P y G'!O37</f>
        <v>2044952.254727636</v>
      </c>
      <c r="Q9" s="119">
        <f>'P y G'!P37</f>
        <v>2061660.5512950849</v>
      </c>
      <c r="R9" s="119">
        <f>'P y G'!Q37</f>
        <v>2078870.0967595573</v>
      </c>
      <c r="S9" s="119">
        <f>'P y G'!R37</f>
        <v>2096595.9285879638</v>
      </c>
      <c r="T9" s="119">
        <f>'P y G'!S37</f>
        <v>2114853.5353712225</v>
      </c>
      <c r="U9" s="119">
        <f>'P y G'!T37</f>
        <v>2133658.8703579791</v>
      </c>
      <c r="V9" s="119">
        <f>'P y G'!U37</f>
        <v>2153028.3653943385</v>
      </c>
      <c r="W9" s="119">
        <f>'P y G'!V37</f>
        <v>2172978.9452817887</v>
      </c>
      <c r="X9" s="119">
        <f>'P y G'!W37</f>
        <v>2193528.0425658617</v>
      </c>
      <c r="Y9" s="119">
        <f>'P y G'!X37</f>
        <v>2214693.6127684577</v>
      </c>
      <c r="Z9" s="119">
        <f>'P y G'!Y37</f>
        <v>2236494.1500771311</v>
      </c>
      <c r="AA9" s="119">
        <f>'P y G'!Z37</f>
        <v>2258948.7035050653</v>
      </c>
    </row>
    <row r="10" spans="2:27" x14ac:dyDescent="0.25">
      <c r="B10" s="378" t="s">
        <v>109</v>
      </c>
      <c r="C10" s="378"/>
      <c r="D10" s="378"/>
      <c r="E10" s="378"/>
      <c r="F10" s="378"/>
      <c r="G10" s="172"/>
      <c r="H10" s="107">
        <f>'P y G'!G38</f>
        <v>439656.12000000005</v>
      </c>
      <c r="I10" s="107">
        <f>'P y G'!H38</f>
        <v>452845.80360000004</v>
      </c>
      <c r="J10" s="107">
        <f>'P y G'!I38</f>
        <v>466431.177708</v>
      </c>
      <c r="K10" s="107">
        <f>'P y G'!J38</f>
        <v>480424.11303924001</v>
      </c>
      <c r="L10" s="107">
        <f>'P y G'!K38</f>
        <v>494836.8364304172</v>
      </c>
      <c r="M10" s="107">
        <f>'P y G'!L38</f>
        <v>509681.94152332976</v>
      </c>
      <c r="N10" s="107">
        <f>'P y G'!M38</f>
        <v>524972.3997690297</v>
      </c>
      <c r="O10" s="107">
        <f>'P y G'!N38</f>
        <v>540721.57176210056</v>
      </c>
      <c r="P10" s="107">
        <f>'P y G'!O38</f>
        <v>556943.21891496365</v>
      </c>
      <c r="Q10" s="107">
        <f>'P y G'!P38</f>
        <v>573651.51548241253</v>
      </c>
      <c r="R10" s="107">
        <f>'P y G'!Q38</f>
        <v>590861.06094688491</v>
      </c>
      <c r="S10" s="107">
        <f>'P y G'!R38</f>
        <v>608586.89277529146</v>
      </c>
      <c r="T10" s="107">
        <f>'P y G'!S38</f>
        <v>626844.49955855031</v>
      </c>
      <c r="U10" s="107">
        <f>'P y G'!T38</f>
        <v>645649.83454530674</v>
      </c>
      <c r="V10" s="107">
        <f>'P y G'!U38</f>
        <v>665019.32958166604</v>
      </c>
      <c r="W10" s="107">
        <f>'P y G'!V38</f>
        <v>684969.90946911601</v>
      </c>
      <c r="X10" s="107">
        <f>'P y G'!W38</f>
        <v>705519.00675318949</v>
      </c>
      <c r="Y10" s="107">
        <f>'P y G'!X38</f>
        <v>726684.57695578528</v>
      </c>
      <c r="Z10" s="107">
        <f>'P y G'!Y38</f>
        <v>748485.11426445877</v>
      </c>
      <c r="AA10" s="107">
        <f>'P y G'!Z38</f>
        <v>770939.6676923926</v>
      </c>
    </row>
    <row r="11" spans="2:27" x14ac:dyDescent="0.25">
      <c r="B11" s="352" t="s">
        <v>46</v>
      </c>
      <c r="C11" s="352"/>
      <c r="D11" s="352"/>
      <c r="E11" s="352"/>
      <c r="F11" s="352"/>
      <c r="G11" s="173"/>
      <c r="H11" s="107">
        <f>'P y G'!G39</f>
        <v>1488009.0358126725</v>
      </c>
      <c r="I11" s="107">
        <f>'P y G'!H39</f>
        <v>1488009.0358126725</v>
      </c>
      <c r="J11" s="107">
        <f>'P y G'!I39</f>
        <v>1488009.0358126725</v>
      </c>
      <c r="K11" s="107">
        <f>'P y G'!J39</f>
        <v>1488009.0358126725</v>
      </c>
      <c r="L11" s="107">
        <f>'P y G'!K39</f>
        <v>1488009.0358126725</v>
      </c>
      <c r="M11" s="107">
        <f>'P y G'!L39</f>
        <v>1488009.0358126725</v>
      </c>
      <c r="N11" s="107">
        <f>'P y G'!M39</f>
        <v>1488009.0358126725</v>
      </c>
      <c r="O11" s="107">
        <f>'P y G'!N39</f>
        <v>1488009.0358126725</v>
      </c>
      <c r="P11" s="107">
        <f>'P y G'!O39</f>
        <v>1488009.0358126725</v>
      </c>
      <c r="Q11" s="107">
        <f>'P y G'!P39</f>
        <v>1488009.0358126725</v>
      </c>
      <c r="R11" s="107">
        <f>'P y G'!Q39</f>
        <v>1488009.0358126725</v>
      </c>
      <c r="S11" s="107">
        <f>'P y G'!R39</f>
        <v>1488009.0358126725</v>
      </c>
      <c r="T11" s="107">
        <f>'P y G'!S39</f>
        <v>1488009.0358126725</v>
      </c>
      <c r="U11" s="107">
        <f>'P y G'!T39</f>
        <v>1488009.0358126725</v>
      </c>
      <c r="V11" s="107">
        <f>'P y G'!U39</f>
        <v>1488009.0358126725</v>
      </c>
      <c r="W11" s="107">
        <f>'P y G'!V39</f>
        <v>1488009.0358126725</v>
      </c>
      <c r="X11" s="107">
        <f>'P y G'!W39</f>
        <v>1488009.0358126725</v>
      </c>
      <c r="Y11" s="107">
        <f>'P y G'!X39</f>
        <v>1488009.0358126725</v>
      </c>
      <c r="Z11" s="107">
        <f>'P y G'!Y39</f>
        <v>1488009.0358126725</v>
      </c>
      <c r="AA11" s="107">
        <f>'P y G'!Z39</f>
        <v>1488009.0358126725</v>
      </c>
    </row>
    <row r="12" spans="2:27" x14ac:dyDescent="0.25">
      <c r="B12" s="379" t="s">
        <v>49</v>
      </c>
      <c r="C12" s="379"/>
      <c r="D12" s="379"/>
      <c r="E12" s="379"/>
      <c r="F12" s="379"/>
      <c r="G12" s="174"/>
      <c r="H12" s="119">
        <f>'P y G'!G40</f>
        <v>731741.80716253445</v>
      </c>
      <c r="I12" s="119">
        <f>'P y G'!H40</f>
        <v>731741.80716253445</v>
      </c>
      <c r="J12" s="119">
        <f>'P y G'!I40</f>
        <v>731741.80716253445</v>
      </c>
      <c r="K12" s="119">
        <f>'P y G'!J40</f>
        <v>731741.80716253445</v>
      </c>
      <c r="L12" s="119">
        <f>'P y G'!K40</f>
        <v>731741.80716253445</v>
      </c>
      <c r="M12" s="119">
        <f>'P y G'!L40</f>
        <v>731741.80716253445</v>
      </c>
      <c r="N12" s="119">
        <f>'P y G'!M40</f>
        <v>731741.80716253445</v>
      </c>
      <c r="O12" s="119">
        <f>'P y G'!N40</f>
        <v>731741.80716253445</v>
      </c>
      <c r="P12" s="119">
        <f>'P y G'!O40</f>
        <v>731741.80716253445</v>
      </c>
      <c r="Q12" s="119">
        <f>'P y G'!P40</f>
        <v>731741.80716253445</v>
      </c>
      <c r="R12" s="119">
        <f>'P y G'!Q40</f>
        <v>731741.80716253445</v>
      </c>
      <c r="S12" s="119">
        <f>'P y G'!R40</f>
        <v>731741.80716253445</v>
      </c>
      <c r="T12" s="119">
        <f>'P y G'!S40</f>
        <v>731741.80716253445</v>
      </c>
      <c r="U12" s="119">
        <f>'P y G'!T40</f>
        <v>731741.80716253445</v>
      </c>
      <c r="V12" s="119">
        <f>'P y G'!U40</f>
        <v>731741.80716253445</v>
      </c>
      <c r="W12" s="119">
        <f>'P y G'!V40</f>
        <v>731741.80716253445</v>
      </c>
      <c r="X12" s="119">
        <f>'P y G'!W40</f>
        <v>731741.80716253445</v>
      </c>
      <c r="Y12" s="119">
        <f>'P y G'!X40</f>
        <v>731741.80716253445</v>
      </c>
      <c r="Z12" s="119">
        <f>'P y G'!Y40</f>
        <v>731741.80716253445</v>
      </c>
      <c r="AA12" s="119">
        <f>'P y G'!Z40</f>
        <v>731741.80716253445</v>
      </c>
    </row>
    <row r="13" spans="2:27" x14ac:dyDescent="0.25">
      <c r="B13" s="352" t="s">
        <v>50</v>
      </c>
      <c r="C13" s="352"/>
      <c r="D13" s="352"/>
      <c r="E13" s="352"/>
      <c r="F13" s="352"/>
      <c r="G13" s="173"/>
      <c r="H13" s="107">
        <f>'P y G'!G41</f>
        <v>105000</v>
      </c>
      <c r="I13" s="107">
        <f>'P y G'!H41</f>
        <v>105000</v>
      </c>
      <c r="J13" s="107">
        <f>'P y G'!I41</f>
        <v>105000</v>
      </c>
      <c r="K13" s="107">
        <f>'P y G'!J41</f>
        <v>105000</v>
      </c>
      <c r="L13" s="107">
        <f>'P y G'!K41</f>
        <v>105000</v>
      </c>
      <c r="M13" s="107">
        <f>'P y G'!L41</f>
        <v>105000</v>
      </c>
      <c r="N13" s="107">
        <f>'P y G'!M41</f>
        <v>105000</v>
      </c>
      <c r="O13" s="107">
        <f>'P y G'!N41</f>
        <v>105000</v>
      </c>
      <c r="P13" s="107">
        <f>'P y G'!O41</f>
        <v>105000</v>
      </c>
      <c r="Q13" s="107">
        <f>'P y G'!P41</f>
        <v>105000</v>
      </c>
      <c r="R13" s="107">
        <f>'P y G'!Q41</f>
        <v>105000</v>
      </c>
      <c r="S13" s="107">
        <f>'P y G'!R41</f>
        <v>105000</v>
      </c>
      <c r="T13" s="107">
        <f>'P y G'!S41</f>
        <v>105000</v>
      </c>
      <c r="U13" s="107">
        <f>'P y G'!T41</f>
        <v>105000</v>
      </c>
      <c r="V13" s="107">
        <f>'P y G'!U41</f>
        <v>105000</v>
      </c>
      <c r="W13" s="107">
        <f>'P y G'!V41</f>
        <v>105000</v>
      </c>
      <c r="X13" s="107">
        <f>'P y G'!W41</f>
        <v>105000</v>
      </c>
      <c r="Y13" s="107">
        <f>'P y G'!X41</f>
        <v>105000</v>
      </c>
      <c r="Z13" s="107">
        <f>'P y G'!Y41</f>
        <v>105000</v>
      </c>
      <c r="AA13" s="107">
        <f>'P y G'!Z41</f>
        <v>105000</v>
      </c>
    </row>
    <row r="14" spans="2:27" x14ac:dyDescent="0.25">
      <c r="B14" s="352" t="s">
        <v>202</v>
      </c>
      <c r="C14" s="352"/>
      <c r="D14" s="352"/>
      <c r="E14" s="352"/>
      <c r="F14" s="352"/>
      <c r="G14" s="173"/>
      <c r="H14" s="107">
        <f>'P y G'!G42</f>
        <v>64800</v>
      </c>
      <c r="I14" s="107">
        <f>'P y G'!H42</f>
        <v>64800</v>
      </c>
      <c r="J14" s="107">
        <f>'P y G'!I42</f>
        <v>64800</v>
      </c>
      <c r="K14" s="107">
        <f>'P y G'!J42</f>
        <v>64800</v>
      </c>
      <c r="L14" s="107">
        <f>'P y G'!K42</f>
        <v>64800</v>
      </c>
      <c r="M14" s="107">
        <f>'P y G'!L42</f>
        <v>64800</v>
      </c>
      <c r="N14" s="107">
        <f>'P y G'!M42</f>
        <v>64800</v>
      </c>
      <c r="O14" s="107">
        <f>'P y G'!N42</f>
        <v>64800</v>
      </c>
      <c r="P14" s="107">
        <f>'P y G'!O42</f>
        <v>64800</v>
      </c>
      <c r="Q14" s="107">
        <f>'P y G'!P42</f>
        <v>64800</v>
      </c>
      <c r="R14" s="107">
        <f>'P y G'!Q42</f>
        <v>64800</v>
      </c>
      <c r="S14" s="107">
        <f>'P y G'!R42</f>
        <v>64800</v>
      </c>
      <c r="T14" s="107">
        <f>'P y G'!S42</f>
        <v>64800</v>
      </c>
      <c r="U14" s="107">
        <f>'P y G'!T42</f>
        <v>64800</v>
      </c>
      <c r="V14" s="107">
        <f>'P y G'!U42</f>
        <v>64800</v>
      </c>
      <c r="W14" s="107">
        <f>'P y G'!V42</f>
        <v>64800</v>
      </c>
      <c r="X14" s="107">
        <f>'P y G'!W42</f>
        <v>64800</v>
      </c>
      <c r="Y14" s="107">
        <f>'P y G'!X42</f>
        <v>64800</v>
      </c>
      <c r="Z14" s="107">
        <f>'P y G'!Y42</f>
        <v>64800</v>
      </c>
      <c r="AA14" s="107">
        <f>'P y G'!Z42</f>
        <v>64800</v>
      </c>
    </row>
    <row r="15" spans="2:27" x14ac:dyDescent="0.25">
      <c r="B15" s="352" t="s">
        <v>51</v>
      </c>
      <c r="C15" s="352"/>
      <c r="D15" s="352"/>
      <c r="E15" s="352"/>
      <c r="F15" s="352"/>
      <c r="G15" s="173"/>
      <c r="H15" s="107">
        <f>'P y G'!G43</f>
        <v>35800</v>
      </c>
      <c r="I15" s="107">
        <f>'P y G'!H43</f>
        <v>35800</v>
      </c>
      <c r="J15" s="107">
        <f>'P y G'!I43</f>
        <v>35800</v>
      </c>
      <c r="K15" s="107">
        <f>'P y G'!J43</f>
        <v>35800</v>
      </c>
      <c r="L15" s="107">
        <f>'P y G'!K43</f>
        <v>35800</v>
      </c>
      <c r="M15" s="107">
        <f>'P y G'!L43</f>
        <v>35800</v>
      </c>
      <c r="N15" s="107">
        <f>'P y G'!M43</f>
        <v>35800</v>
      </c>
      <c r="O15" s="107">
        <f>'P y G'!N43</f>
        <v>35800</v>
      </c>
      <c r="P15" s="107">
        <f>'P y G'!O43</f>
        <v>35800</v>
      </c>
      <c r="Q15" s="107">
        <f>'P y G'!P43</f>
        <v>35800</v>
      </c>
      <c r="R15" s="107">
        <f>'P y G'!Q43</f>
        <v>35800</v>
      </c>
      <c r="S15" s="107">
        <f>'P y G'!R43</f>
        <v>35800</v>
      </c>
      <c r="T15" s="107">
        <f>'P y G'!S43</f>
        <v>35800</v>
      </c>
      <c r="U15" s="107">
        <f>'P y G'!T43</f>
        <v>35800</v>
      </c>
      <c r="V15" s="107">
        <f>'P y G'!U43</f>
        <v>35800</v>
      </c>
      <c r="W15" s="107">
        <f>'P y G'!V43</f>
        <v>35800</v>
      </c>
      <c r="X15" s="107">
        <f>'P y G'!W43</f>
        <v>35800</v>
      </c>
      <c r="Y15" s="107">
        <f>'P y G'!X43</f>
        <v>35800</v>
      </c>
      <c r="Z15" s="107">
        <f>'P y G'!Y43</f>
        <v>35800</v>
      </c>
      <c r="AA15" s="107">
        <f>'P y G'!Z43</f>
        <v>35800</v>
      </c>
    </row>
    <row r="16" spans="2:27" x14ac:dyDescent="0.25">
      <c r="B16" s="352" t="s">
        <v>52</v>
      </c>
      <c r="C16" s="352"/>
      <c r="D16" s="352"/>
      <c r="E16" s="352"/>
      <c r="F16" s="352"/>
      <c r="G16" s="173"/>
      <c r="H16" s="107">
        <f>'P y G'!G44</f>
        <v>25500</v>
      </c>
      <c r="I16" s="107">
        <f>'P y G'!H44</f>
        <v>25500</v>
      </c>
      <c r="J16" s="107">
        <f>'P y G'!I44</f>
        <v>25500</v>
      </c>
      <c r="K16" s="107">
        <f>'P y G'!J44</f>
        <v>25500</v>
      </c>
      <c r="L16" s="107">
        <f>'P y G'!K44</f>
        <v>25500</v>
      </c>
      <c r="M16" s="107">
        <f>'P y G'!L44</f>
        <v>25500</v>
      </c>
      <c r="N16" s="107">
        <f>'P y G'!M44</f>
        <v>25500</v>
      </c>
      <c r="O16" s="107">
        <f>'P y G'!N44</f>
        <v>25500</v>
      </c>
      <c r="P16" s="107">
        <f>'P y G'!O44</f>
        <v>25500</v>
      </c>
      <c r="Q16" s="107">
        <f>'P y G'!P44</f>
        <v>25500</v>
      </c>
      <c r="R16" s="107">
        <f>'P y G'!Q44</f>
        <v>25500</v>
      </c>
      <c r="S16" s="107">
        <f>'P y G'!R44</f>
        <v>25500</v>
      </c>
      <c r="T16" s="107">
        <f>'P y G'!S44</f>
        <v>25500</v>
      </c>
      <c r="U16" s="107">
        <f>'P y G'!T44</f>
        <v>25500</v>
      </c>
      <c r="V16" s="107">
        <f>'P y G'!U44</f>
        <v>25500</v>
      </c>
      <c r="W16" s="107">
        <f>'P y G'!V44</f>
        <v>25500</v>
      </c>
      <c r="X16" s="107">
        <f>'P y G'!W44</f>
        <v>25500</v>
      </c>
      <c r="Y16" s="107">
        <f>'P y G'!X44</f>
        <v>25500</v>
      </c>
      <c r="Z16" s="107">
        <f>'P y G'!Y44</f>
        <v>25500</v>
      </c>
      <c r="AA16" s="107">
        <f>'P y G'!Z44</f>
        <v>25500</v>
      </c>
    </row>
    <row r="17" spans="2:27" x14ac:dyDescent="0.25">
      <c r="B17" s="352" t="s">
        <v>53</v>
      </c>
      <c r="C17" s="352"/>
      <c r="D17" s="352"/>
      <c r="E17" s="352"/>
      <c r="F17" s="352"/>
      <c r="G17" s="173"/>
      <c r="H17" s="107">
        <f>'P y G'!G45</f>
        <v>297601.8071625345</v>
      </c>
      <c r="I17" s="107">
        <f>'P y G'!H45</f>
        <v>297601.8071625345</v>
      </c>
      <c r="J17" s="107">
        <f>'P y G'!I45</f>
        <v>297601.8071625345</v>
      </c>
      <c r="K17" s="107">
        <f>'P y G'!J45</f>
        <v>297601.8071625345</v>
      </c>
      <c r="L17" s="107">
        <f>'P y G'!K45</f>
        <v>297601.8071625345</v>
      </c>
      <c r="M17" s="107">
        <f>'P y G'!L45</f>
        <v>297601.8071625345</v>
      </c>
      <c r="N17" s="107">
        <f>'P y G'!M45</f>
        <v>297601.8071625345</v>
      </c>
      <c r="O17" s="107">
        <f>'P y G'!N45</f>
        <v>297601.8071625345</v>
      </c>
      <c r="P17" s="107">
        <f>'P y G'!O45</f>
        <v>297601.8071625345</v>
      </c>
      <c r="Q17" s="107">
        <f>'P y G'!P45</f>
        <v>297601.8071625345</v>
      </c>
      <c r="R17" s="107">
        <f>'P y G'!Q45</f>
        <v>297601.8071625345</v>
      </c>
      <c r="S17" s="107">
        <f>'P y G'!R45</f>
        <v>297601.8071625345</v>
      </c>
      <c r="T17" s="107">
        <f>'P y G'!S45</f>
        <v>297601.8071625345</v>
      </c>
      <c r="U17" s="107">
        <f>'P y G'!T45</f>
        <v>297601.8071625345</v>
      </c>
      <c r="V17" s="107">
        <f>'P y G'!U45</f>
        <v>297601.8071625345</v>
      </c>
      <c r="W17" s="107">
        <f>'P y G'!V45</f>
        <v>297601.8071625345</v>
      </c>
      <c r="X17" s="107">
        <f>'P y G'!W45</f>
        <v>297601.8071625345</v>
      </c>
      <c r="Y17" s="107">
        <f>'P y G'!X45</f>
        <v>297601.8071625345</v>
      </c>
      <c r="Z17" s="107">
        <f>'P y G'!Y45</f>
        <v>297601.8071625345</v>
      </c>
      <c r="AA17" s="107">
        <f>'P y G'!Z45</f>
        <v>297601.8071625345</v>
      </c>
    </row>
    <row r="18" spans="2:27" x14ac:dyDescent="0.25">
      <c r="B18" s="381" t="s">
        <v>54</v>
      </c>
      <c r="C18" s="381"/>
      <c r="D18" s="381"/>
      <c r="E18" s="381"/>
      <c r="F18" s="381"/>
      <c r="G18" s="175"/>
      <c r="H18" s="107">
        <f>'P y G'!G46</f>
        <v>118800.00000000001</v>
      </c>
      <c r="I18" s="107">
        <f>'P y G'!H46</f>
        <v>118800.00000000001</v>
      </c>
      <c r="J18" s="107">
        <f>'P y G'!I46</f>
        <v>118800.00000000001</v>
      </c>
      <c r="K18" s="107">
        <f>'P y G'!J46</f>
        <v>118800.00000000001</v>
      </c>
      <c r="L18" s="107">
        <f>'P y G'!K46</f>
        <v>118800.00000000001</v>
      </c>
      <c r="M18" s="107">
        <f>'P y G'!L46</f>
        <v>118800.00000000001</v>
      </c>
      <c r="N18" s="107">
        <f>'P y G'!M46</f>
        <v>118800.00000000001</v>
      </c>
      <c r="O18" s="107">
        <f>'P y G'!N46</f>
        <v>118800.00000000001</v>
      </c>
      <c r="P18" s="107">
        <f>'P y G'!O46</f>
        <v>118800.00000000001</v>
      </c>
      <c r="Q18" s="107">
        <f>'P y G'!P46</f>
        <v>118800.00000000001</v>
      </c>
      <c r="R18" s="107">
        <f>'P y G'!Q46</f>
        <v>118800.00000000001</v>
      </c>
      <c r="S18" s="107">
        <f>'P y G'!R46</f>
        <v>118800.00000000001</v>
      </c>
      <c r="T18" s="107">
        <f>'P y G'!S46</f>
        <v>118800.00000000001</v>
      </c>
      <c r="U18" s="107">
        <f>'P y G'!T46</f>
        <v>118800.00000000001</v>
      </c>
      <c r="V18" s="107">
        <f>'P y G'!U46</f>
        <v>118800.00000000001</v>
      </c>
      <c r="W18" s="107">
        <f>'P y G'!V46</f>
        <v>118800.00000000001</v>
      </c>
      <c r="X18" s="107">
        <f>'P y G'!W46</f>
        <v>118800.00000000001</v>
      </c>
      <c r="Y18" s="107">
        <f>'P y G'!X46</f>
        <v>118800.00000000001</v>
      </c>
      <c r="Z18" s="107">
        <f>'P y G'!Y46</f>
        <v>118800.00000000001</v>
      </c>
      <c r="AA18" s="107">
        <f>'P y G'!Z46</f>
        <v>118800.00000000001</v>
      </c>
    </row>
    <row r="19" spans="2:27" x14ac:dyDescent="0.25">
      <c r="B19" s="352" t="s">
        <v>55</v>
      </c>
      <c r="C19" s="352"/>
      <c r="D19" s="352"/>
      <c r="E19" s="352"/>
      <c r="F19" s="352"/>
      <c r="G19" s="173"/>
      <c r="H19" s="107">
        <f>'P y G'!G47</f>
        <v>84240.000000000015</v>
      </c>
      <c r="I19" s="107">
        <f>'P y G'!H47</f>
        <v>84240.000000000015</v>
      </c>
      <c r="J19" s="107">
        <f>'P y G'!I47</f>
        <v>84240.000000000015</v>
      </c>
      <c r="K19" s="107">
        <f>'P y G'!J47</f>
        <v>84240.000000000015</v>
      </c>
      <c r="L19" s="107">
        <f>'P y G'!K47</f>
        <v>84240.000000000015</v>
      </c>
      <c r="M19" s="107">
        <f>'P y G'!L47</f>
        <v>84240.000000000015</v>
      </c>
      <c r="N19" s="107">
        <f>'P y G'!M47</f>
        <v>84240.000000000015</v>
      </c>
      <c r="O19" s="107">
        <f>'P y G'!N47</f>
        <v>84240.000000000015</v>
      </c>
      <c r="P19" s="107">
        <f>'P y G'!O47</f>
        <v>84240.000000000015</v>
      </c>
      <c r="Q19" s="107">
        <f>'P y G'!P47</f>
        <v>84240.000000000015</v>
      </c>
      <c r="R19" s="107">
        <f>'P y G'!Q47</f>
        <v>84240.000000000015</v>
      </c>
      <c r="S19" s="107">
        <f>'P y G'!R47</f>
        <v>84240.000000000015</v>
      </c>
      <c r="T19" s="107">
        <f>'P y G'!S47</f>
        <v>84240.000000000015</v>
      </c>
      <c r="U19" s="107">
        <f>'P y G'!T47</f>
        <v>84240.000000000015</v>
      </c>
      <c r="V19" s="107">
        <f>'P y G'!U47</f>
        <v>84240.000000000015</v>
      </c>
      <c r="W19" s="107">
        <f>'P y G'!V47</f>
        <v>84240.000000000015</v>
      </c>
      <c r="X19" s="107">
        <f>'P y G'!W47</f>
        <v>84240.000000000015</v>
      </c>
      <c r="Y19" s="107">
        <f>'P y G'!X47</f>
        <v>84240.000000000015</v>
      </c>
      <c r="Z19" s="107">
        <f>'P y G'!Y47</f>
        <v>84240.000000000015</v>
      </c>
      <c r="AA19" s="107">
        <f>'P y G'!Z47</f>
        <v>84240.000000000015</v>
      </c>
    </row>
    <row r="20" spans="2:27" x14ac:dyDescent="0.25">
      <c r="B20" s="379" t="s">
        <v>226</v>
      </c>
      <c r="C20" s="379"/>
      <c r="D20" s="379"/>
      <c r="E20" s="379"/>
      <c r="F20" s="379"/>
      <c r="G20" s="174"/>
      <c r="H20" s="119">
        <f>'P y G'!G48</f>
        <v>1375593.8071625347</v>
      </c>
      <c r="I20" s="119">
        <f>'P y G'!H48</f>
        <v>1375593.8071625347</v>
      </c>
      <c r="J20" s="119">
        <f>'P y G'!I48</f>
        <v>1375593.8071625347</v>
      </c>
      <c r="K20" s="119">
        <f>'P y G'!J48</f>
        <v>1375593.8071625347</v>
      </c>
      <c r="L20" s="119">
        <f>'P y G'!K48</f>
        <v>1375593.8071625347</v>
      </c>
      <c r="M20" s="119">
        <f>'P y G'!L48</f>
        <v>1375593.8071625347</v>
      </c>
      <c r="N20" s="119">
        <f>'P y G'!M48</f>
        <v>1375593.8071625347</v>
      </c>
      <c r="O20" s="119">
        <f>'P y G'!N48</f>
        <v>1375593.8071625347</v>
      </c>
      <c r="P20" s="119">
        <f>'P y G'!O48</f>
        <v>1375593.8071625347</v>
      </c>
      <c r="Q20" s="119">
        <f>'P y G'!P48</f>
        <v>1375593.8071625347</v>
      </c>
      <c r="R20" s="119">
        <f>'P y G'!Q48</f>
        <v>1375593.8071625347</v>
      </c>
      <c r="S20" s="119">
        <f>'P y G'!R48</f>
        <v>1375593.8071625347</v>
      </c>
      <c r="T20" s="119">
        <f>'P y G'!S48</f>
        <v>1375593.8071625347</v>
      </c>
      <c r="U20" s="119">
        <f>'P y G'!T48</f>
        <v>1375593.8071625347</v>
      </c>
      <c r="V20" s="119">
        <f>'P y G'!U48</f>
        <v>1375593.8071625347</v>
      </c>
      <c r="W20" s="119">
        <f>'P y G'!V48</f>
        <v>1375593.8071625347</v>
      </c>
      <c r="X20" s="119">
        <f>'P y G'!W48</f>
        <v>1375593.8071625347</v>
      </c>
      <c r="Y20" s="119">
        <f>'P y G'!X48</f>
        <v>1375593.8071625347</v>
      </c>
      <c r="Z20" s="119">
        <f>'P y G'!Y48</f>
        <v>1375593.8071625347</v>
      </c>
      <c r="AA20" s="119">
        <f>'P y G'!Z48</f>
        <v>1375593.8071625347</v>
      </c>
    </row>
    <row r="21" spans="2:27" x14ac:dyDescent="0.25">
      <c r="B21" s="379" t="s">
        <v>167</v>
      </c>
      <c r="C21" s="379"/>
      <c r="D21" s="379"/>
      <c r="E21" s="379"/>
      <c r="F21" s="379"/>
      <c r="G21" s="174"/>
      <c r="H21" s="119">
        <f>'P y G'!G49</f>
        <v>1631986.6489060447</v>
      </c>
      <c r="I21" s="119">
        <f>'P y G'!H49</f>
        <v>1468787.9840154401</v>
      </c>
      <c r="J21" s="119">
        <f>'P y G'!I49</f>
        <v>1305589.3191248355</v>
      </c>
      <c r="K21" s="119">
        <f>'P y G'!J49</f>
        <v>1142390.6542342312</v>
      </c>
      <c r="L21" s="119">
        <f>'P y G'!K49</f>
        <v>979191.98934362654</v>
      </c>
      <c r="M21" s="119">
        <f>'P y G'!L49</f>
        <v>815993.3244530221</v>
      </c>
      <c r="N21" s="119">
        <f>'P y G'!M49</f>
        <v>652794.65956241754</v>
      </c>
      <c r="O21" s="119">
        <f>'P y G'!N49</f>
        <v>489595.9946718131</v>
      </c>
      <c r="P21" s="119">
        <f>'P y G'!O49</f>
        <v>326397.32978120865</v>
      </c>
      <c r="Q21" s="119">
        <f>'P y G'!P49</f>
        <v>163198.66489060418</v>
      </c>
      <c r="R21" s="119">
        <f>'P y G'!Q49</f>
        <v>0</v>
      </c>
      <c r="S21" s="119">
        <f>'P y G'!R49</f>
        <v>0</v>
      </c>
      <c r="T21" s="119">
        <f>'P y G'!S49</f>
        <v>0</v>
      </c>
      <c r="U21" s="119">
        <f>'P y G'!T49</f>
        <v>0</v>
      </c>
      <c r="V21" s="119">
        <f>'P y G'!U49</f>
        <v>0</v>
      </c>
      <c r="W21" s="119">
        <f>'P y G'!V49</f>
        <v>0</v>
      </c>
      <c r="X21" s="119">
        <f>'P y G'!W49</f>
        <v>0</v>
      </c>
      <c r="Y21" s="119">
        <f>'P y G'!X49</f>
        <v>0</v>
      </c>
      <c r="Z21" s="119">
        <f>'P y G'!Y49</f>
        <v>0</v>
      </c>
      <c r="AA21" s="119">
        <f>'P y G'!Z49</f>
        <v>0</v>
      </c>
    </row>
    <row r="22" spans="2:27" x14ac:dyDescent="0.25">
      <c r="B22" s="380" t="s">
        <v>110</v>
      </c>
      <c r="C22" s="380"/>
      <c r="D22" s="380"/>
      <c r="E22" s="380"/>
      <c r="F22" s="380"/>
      <c r="G22" s="162"/>
      <c r="H22" s="106">
        <f>'P y G'!G50</f>
        <v>2660033.7491562143</v>
      </c>
      <c r="I22" s="106">
        <f>'P y G'!H50</f>
        <v>3287788.039924277</v>
      </c>
      <c r="J22" s="106">
        <f>'P y G'!I50</f>
        <v>4190150.8364355238</v>
      </c>
      <c r="K22" s="106">
        <f>'P y G'!J50</f>
        <v>5437699.3174826587</v>
      </c>
      <c r="L22" s="106">
        <f>'P y G'!K50</f>
        <v>7141523.4115474802</v>
      </c>
      <c r="M22" s="106">
        <f>'P y G'!L50</f>
        <v>9472626.3951241486</v>
      </c>
      <c r="N22" s="106">
        <f>'P y G'!M50</f>
        <v>12693862.755088154</v>
      </c>
      <c r="O22" s="106">
        <f>'P y G'!N50</f>
        <v>17212753.762349699</v>
      </c>
      <c r="P22" s="106">
        <f>'P y G'!O50</f>
        <v>23669897.483700976</v>
      </c>
      <c r="Q22" s="106">
        <f>'P y G'!P50</f>
        <v>33089310.078798614</v>
      </c>
      <c r="R22" s="106">
        <f>'P y G'!Q50</f>
        <v>47138618.929129928</v>
      </c>
      <c r="S22" s="106">
        <f>'P y G'!R50</f>
        <v>68424668.75738202</v>
      </c>
      <c r="T22" s="106">
        <f>'P y G'!S50</f>
        <v>101808016.46806292</v>
      </c>
      <c r="U22" s="106">
        <f>'P y G'!T50</f>
        <v>155426448.71894518</v>
      </c>
      <c r="V22" s="106">
        <f>'P y G'!U50</f>
        <v>243691292.85123998</v>
      </c>
      <c r="W22" s="106">
        <f>'P y G'!V50</f>
        <v>392704702.65145856</v>
      </c>
      <c r="X22" s="106">
        <f>'P y G'!W50</f>
        <v>392736315.72737652</v>
      </c>
      <c r="Y22" s="106">
        <f>'P y G'!X50</f>
        <v>392768981.51991838</v>
      </c>
      <c r="Z22" s="106">
        <f>'P y G'!Y50</f>
        <v>392802734.94896203</v>
      </c>
      <c r="AA22" s="106">
        <f>'P y G'!Z50</f>
        <v>392837612.08880967</v>
      </c>
    </row>
    <row r="23" spans="2:27" x14ac:dyDescent="0.25">
      <c r="B23" s="352" t="s">
        <v>129</v>
      </c>
      <c r="C23" s="352"/>
      <c r="D23" s="352"/>
      <c r="E23" s="352"/>
      <c r="F23" s="352"/>
      <c r="G23" s="173"/>
      <c r="H23" s="107">
        <f>'P y G'!G51</f>
        <v>798010.12474686431</v>
      </c>
      <c r="I23" s="107">
        <f>'P y G'!H51</f>
        <v>986336.41197728307</v>
      </c>
      <c r="J23" s="107">
        <f>'P y G'!I51</f>
        <v>1257045.2509306571</v>
      </c>
      <c r="K23" s="107">
        <f>'P y G'!J51</f>
        <v>1631309.7952447976</v>
      </c>
      <c r="L23" s="107">
        <f>'P y G'!K51</f>
        <v>2142457.0234642439</v>
      </c>
      <c r="M23" s="107">
        <f>'P y G'!L51</f>
        <v>2841787.9185372447</v>
      </c>
      <c r="N23" s="107">
        <f>'P y G'!M51</f>
        <v>3808158.8265264463</v>
      </c>
      <c r="O23" s="107">
        <f>'P y G'!N51</f>
        <v>5163826.1287049092</v>
      </c>
      <c r="P23" s="107">
        <f>'P y G'!O51</f>
        <v>7100969.2451102929</v>
      </c>
      <c r="Q23" s="107">
        <f>'P y G'!P51</f>
        <v>9926793.023639584</v>
      </c>
      <c r="R23" s="107">
        <f>'P y G'!Q51</f>
        <v>14141585.678738978</v>
      </c>
      <c r="S23" s="107">
        <f>'P y G'!R51</f>
        <v>20527400.627214607</v>
      </c>
      <c r="T23" s="107">
        <f>'P y G'!S51</f>
        <v>30542404.940418877</v>
      </c>
      <c r="U23" s="107">
        <f>'P y G'!T51</f>
        <v>46627934.615683548</v>
      </c>
      <c r="V23" s="107">
        <f>'P y G'!U51</f>
        <v>73107387.855371997</v>
      </c>
      <c r="W23" s="107">
        <f>'P y G'!V51</f>
        <v>117811410.79543756</v>
      </c>
      <c r="X23" s="107">
        <f>'P y G'!W51</f>
        <v>117820894.71821295</v>
      </c>
      <c r="Y23" s="107">
        <f>'P y G'!X51</f>
        <v>117830694.45597552</v>
      </c>
      <c r="Z23" s="107">
        <f>'P y G'!Y51</f>
        <v>117840820.48468861</v>
      </c>
      <c r="AA23" s="107">
        <f>'P y G'!Z51</f>
        <v>117851283.6266429</v>
      </c>
    </row>
    <row r="24" spans="2:27" x14ac:dyDescent="0.25">
      <c r="B24" s="380" t="s">
        <v>112</v>
      </c>
      <c r="C24" s="380"/>
      <c r="D24" s="380"/>
      <c r="E24" s="380"/>
      <c r="F24" s="380"/>
      <c r="G24" s="162"/>
      <c r="H24" s="106">
        <f>'P y G'!G52</f>
        <v>1862023.6244093501</v>
      </c>
      <c r="I24" s="106">
        <f>'P y G'!H52</f>
        <v>2301451.6279469938</v>
      </c>
      <c r="J24" s="106">
        <f>'P y G'!I52</f>
        <v>2933105.5855048667</v>
      </c>
      <c r="K24" s="106">
        <f>'P y G'!J52</f>
        <v>3806389.5222378611</v>
      </c>
      <c r="L24" s="106">
        <f>'P y G'!K52</f>
        <v>4999066.3880832363</v>
      </c>
      <c r="M24" s="106">
        <f>'P y G'!L52</f>
        <v>6630838.4765869044</v>
      </c>
      <c r="N24" s="106">
        <f>'P y G'!M52</f>
        <v>8885703.928561708</v>
      </c>
      <c r="O24" s="106">
        <f>'P y G'!N52</f>
        <v>12048927.633644789</v>
      </c>
      <c r="P24" s="106">
        <f>'P y G'!O52</f>
        <v>16568928.238590684</v>
      </c>
      <c r="Q24" s="106">
        <f>'P y G'!P52</f>
        <v>23162517.055159032</v>
      </c>
      <c r="R24" s="106">
        <f>'P y G'!Q52</f>
        <v>32997033.250390951</v>
      </c>
      <c r="S24" s="106">
        <f>'P y G'!R52</f>
        <v>47897268.13016741</v>
      </c>
      <c r="T24" s="106">
        <f>'P y G'!S52</f>
        <v>71265611.527644038</v>
      </c>
      <c r="U24" s="106">
        <f>'P y G'!T52</f>
        <v>108798514.10326162</v>
      </c>
      <c r="V24" s="106">
        <f>'P y G'!U52</f>
        <v>170583904.99586797</v>
      </c>
      <c r="W24" s="106">
        <f>'P y G'!V52</f>
        <v>274893291.85602099</v>
      </c>
      <c r="X24" s="106">
        <f>'P y G'!W52</f>
        <v>274915421.00916356</v>
      </c>
      <c r="Y24" s="106">
        <f>'P y G'!X52</f>
        <v>274938287.06394285</v>
      </c>
      <c r="Z24" s="106">
        <f>'P y G'!Y52</f>
        <v>274961914.46427345</v>
      </c>
      <c r="AA24" s="106">
        <f>'P y G'!Z52</f>
        <v>274986328.46216679</v>
      </c>
    </row>
    <row r="25" spans="2:27" x14ac:dyDescent="0.25">
      <c r="B25" s="379" t="s">
        <v>219</v>
      </c>
      <c r="C25" s="379"/>
      <c r="D25" s="379"/>
      <c r="E25" s="379"/>
      <c r="F25" s="379"/>
      <c r="G25" s="174"/>
      <c r="H25" s="236">
        <f>'P y G'!G48</f>
        <v>1375593.8071625347</v>
      </c>
      <c r="I25" s="236">
        <f t="shared" ref="I25:AA25" si="0">I20</f>
        <v>1375593.8071625347</v>
      </c>
      <c r="J25" s="236">
        <f t="shared" si="0"/>
        <v>1375593.8071625347</v>
      </c>
      <c r="K25" s="236">
        <f t="shared" si="0"/>
        <v>1375593.8071625347</v>
      </c>
      <c r="L25" s="236">
        <f t="shared" si="0"/>
        <v>1375593.8071625347</v>
      </c>
      <c r="M25" s="236">
        <f t="shared" si="0"/>
        <v>1375593.8071625347</v>
      </c>
      <c r="N25" s="236">
        <f t="shared" si="0"/>
        <v>1375593.8071625347</v>
      </c>
      <c r="O25" s="236">
        <f t="shared" si="0"/>
        <v>1375593.8071625347</v>
      </c>
      <c r="P25" s="236">
        <f t="shared" si="0"/>
        <v>1375593.8071625347</v>
      </c>
      <c r="Q25" s="236">
        <f t="shared" si="0"/>
        <v>1375593.8071625347</v>
      </c>
      <c r="R25" s="236">
        <f t="shared" si="0"/>
        <v>1375593.8071625347</v>
      </c>
      <c r="S25" s="236">
        <f t="shared" si="0"/>
        <v>1375593.8071625347</v>
      </c>
      <c r="T25" s="236">
        <f t="shared" si="0"/>
        <v>1375593.8071625347</v>
      </c>
      <c r="U25" s="236">
        <f t="shared" si="0"/>
        <v>1375593.8071625347</v>
      </c>
      <c r="V25" s="236">
        <f t="shared" si="0"/>
        <v>1375593.8071625347</v>
      </c>
      <c r="W25" s="236">
        <f t="shared" si="0"/>
        <v>1375593.8071625347</v>
      </c>
      <c r="X25" s="236">
        <f t="shared" si="0"/>
        <v>1375593.8071625347</v>
      </c>
      <c r="Y25" s="159">
        <f t="shared" si="0"/>
        <v>1375593.8071625347</v>
      </c>
      <c r="Z25" s="159">
        <f t="shared" si="0"/>
        <v>1375593.8071625347</v>
      </c>
      <c r="AA25" s="159">
        <f t="shared" si="0"/>
        <v>1375593.8071625347</v>
      </c>
    </row>
    <row r="26" spans="2:27" x14ac:dyDescent="0.25">
      <c r="B26" s="352" t="s">
        <v>169</v>
      </c>
      <c r="C26" s="352"/>
      <c r="D26" s="352"/>
      <c r="E26" s="352"/>
      <c r="F26" s="352"/>
      <c r="G26" s="79">
        <f>-'Inv. y Dep.'!I16</f>
        <v>-38856824.973953441</v>
      </c>
      <c r="H26" s="79"/>
      <c r="I26" s="79"/>
      <c r="J26" s="79"/>
      <c r="K26" s="79"/>
      <c r="L26" s="79"/>
      <c r="M26" s="79"/>
      <c r="N26" s="79"/>
      <c r="O26" s="79"/>
      <c r="P26" s="79"/>
      <c r="Q26" s="79"/>
      <c r="R26" s="79"/>
      <c r="S26" s="79"/>
      <c r="T26" s="79"/>
      <c r="U26" s="79"/>
      <c r="V26" s="79"/>
      <c r="W26" s="79"/>
      <c r="X26" s="79"/>
      <c r="Y26" s="79"/>
      <c r="Z26" s="79"/>
      <c r="AA26" s="79"/>
    </row>
    <row r="27" spans="2:27" x14ac:dyDescent="0.25">
      <c r="B27" s="352" t="s">
        <v>222</v>
      </c>
      <c r="C27" s="352"/>
      <c r="D27" s="352"/>
      <c r="E27" s="352"/>
      <c r="F27" s="352"/>
      <c r="G27" s="79"/>
      <c r="H27" s="79"/>
      <c r="I27" s="79"/>
      <c r="J27" s="79"/>
      <c r="K27" s="79"/>
      <c r="L27" s="79"/>
      <c r="M27" s="79"/>
      <c r="N27" s="79"/>
      <c r="O27" s="79"/>
      <c r="P27" s="79"/>
      <c r="Q27" s="79"/>
      <c r="R27" s="79"/>
      <c r="S27" s="79"/>
      <c r="T27" s="79"/>
      <c r="U27" s="79"/>
      <c r="V27" s="79"/>
      <c r="W27" s="79"/>
      <c r="X27" s="79"/>
      <c r="Y27" s="79"/>
      <c r="Z27" s="79"/>
      <c r="AA27" s="79">
        <v>2940315.592286502</v>
      </c>
    </row>
    <row r="28" spans="2:27" x14ac:dyDescent="0.25">
      <c r="B28" s="352" t="s">
        <v>223</v>
      </c>
      <c r="C28" s="352"/>
      <c r="D28" s="352"/>
      <c r="E28" s="352"/>
      <c r="F28" s="352"/>
      <c r="G28" s="79"/>
      <c r="H28" s="79"/>
      <c r="I28" s="79"/>
      <c r="J28" s="79"/>
      <c r="K28" s="79"/>
      <c r="L28" s="79"/>
      <c r="M28" s="79"/>
      <c r="N28" s="79"/>
      <c r="O28" s="79"/>
      <c r="P28" s="79"/>
      <c r="Q28" s="79"/>
      <c r="R28" s="79"/>
      <c r="S28" s="79"/>
      <c r="T28" s="79"/>
      <c r="U28" s="79"/>
      <c r="V28" s="79"/>
      <c r="W28" s="79"/>
      <c r="X28" s="79"/>
      <c r="Y28" s="79"/>
      <c r="Z28" s="79"/>
      <c r="AA28" s="79">
        <v>3745644.2577</v>
      </c>
    </row>
    <row r="29" spans="2:27" x14ac:dyDescent="0.25">
      <c r="B29" s="352" t="s">
        <v>224</v>
      </c>
      <c r="C29" s="352"/>
      <c r="D29" s="352"/>
      <c r="E29" s="352"/>
      <c r="F29" s="352"/>
      <c r="G29" s="79">
        <f>-SUM(H29:AA29)</f>
        <v>23314094.984372068</v>
      </c>
      <c r="H29" s="79">
        <v>-2331409.4984372063</v>
      </c>
      <c r="I29" s="79">
        <v>-2331409.4984372063</v>
      </c>
      <c r="J29" s="79">
        <v>-2331409.4984372063</v>
      </c>
      <c r="K29" s="79">
        <v>-2331409.4984372063</v>
      </c>
      <c r="L29" s="79">
        <v>-2331409.4984372063</v>
      </c>
      <c r="M29" s="79">
        <v>-2331409.4984372063</v>
      </c>
      <c r="N29" s="79">
        <v>-2331409.4984372063</v>
      </c>
      <c r="O29" s="79">
        <v>-2331409.4984372063</v>
      </c>
      <c r="P29" s="79">
        <v>-2331409.4984372063</v>
      </c>
      <c r="Q29" s="79">
        <v>-2331409.4984372063</v>
      </c>
      <c r="R29" s="79"/>
      <c r="S29" s="79"/>
      <c r="T29" s="79"/>
      <c r="U29" s="79"/>
      <c r="V29" s="79"/>
      <c r="W29" s="79"/>
      <c r="X29" s="79"/>
      <c r="Y29" s="79"/>
      <c r="Z29" s="79"/>
      <c r="AA29" s="79"/>
    </row>
    <row r="30" spans="2:27" x14ac:dyDescent="0.25">
      <c r="B30" s="380" t="s">
        <v>225</v>
      </c>
      <c r="C30" s="380"/>
      <c r="D30" s="380"/>
      <c r="E30" s="380"/>
      <c r="F30" s="380"/>
      <c r="G30" s="162">
        <f>SUM(G24:G29)</f>
        <v>-15542729.989581373</v>
      </c>
      <c r="H30" s="162">
        <f>SUM(H24:H29)</f>
        <v>906207.93313467875</v>
      </c>
      <c r="I30" s="162">
        <f t="shared" ref="I30:AA30" si="1">SUM(I24:I29)</f>
        <v>1345635.9366723225</v>
      </c>
      <c r="J30" s="162">
        <f t="shared" si="1"/>
        <v>1977289.8942301953</v>
      </c>
      <c r="K30" s="162">
        <f t="shared" si="1"/>
        <v>2850573.8309631897</v>
      </c>
      <c r="L30" s="162">
        <f t="shared" si="1"/>
        <v>4043250.6968085645</v>
      </c>
      <c r="M30" s="162">
        <f t="shared" si="1"/>
        <v>5675022.7853122326</v>
      </c>
      <c r="N30" s="162">
        <f t="shared" si="1"/>
        <v>7929888.2372870361</v>
      </c>
      <c r="O30" s="162">
        <f t="shared" si="1"/>
        <v>11093111.942370117</v>
      </c>
      <c r="P30" s="162">
        <f t="shared" si="1"/>
        <v>15613112.547316011</v>
      </c>
      <c r="Q30" s="162">
        <f t="shared" si="1"/>
        <v>22206701.36388436</v>
      </c>
      <c r="R30" s="162">
        <f t="shared" si="1"/>
        <v>34372627.057553485</v>
      </c>
      <c r="S30" s="162">
        <f t="shared" si="1"/>
        <v>49272861.937329948</v>
      </c>
      <c r="T30" s="162">
        <f t="shared" si="1"/>
        <v>72641205.334806576</v>
      </c>
      <c r="U30" s="162">
        <f t="shared" si="1"/>
        <v>110174107.91042416</v>
      </c>
      <c r="V30" s="162">
        <f t="shared" si="1"/>
        <v>171959498.80303049</v>
      </c>
      <c r="W30" s="162">
        <f t="shared" si="1"/>
        <v>276268885.66318351</v>
      </c>
      <c r="X30" s="162">
        <f t="shared" si="1"/>
        <v>276291014.81632608</v>
      </c>
      <c r="Y30" s="162">
        <f t="shared" si="1"/>
        <v>276313880.87110537</v>
      </c>
      <c r="Z30" s="162">
        <f t="shared" si="1"/>
        <v>276337508.27143598</v>
      </c>
      <c r="AA30" s="162">
        <f t="shared" si="1"/>
        <v>283047882.11931586</v>
      </c>
    </row>
    <row r="32" spans="2:27" x14ac:dyDescent="0.25">
      <c r="B32" s="315" t="s">
        <v>229</v>
      </c>
      <c r="C32" s="315"/>
      <c r="D32" s="315"/>
      <c r="E32" s="315"/>
    </row>
    <row r="33" spans="1:27" x14ac:dyDescent="0.25">
      <c r="B33" s="315"/>
      <c r="C33" s="315"/>
      <c r="D33" s="315"/>
      <c r="E33" s="315"/>
      <c r="J33" s="15"/>
    </row>
    <row r="34" spans="1:27" x14ac:dyDescent="0.25">
      <c r="H34" s="15"/>
    </row>
    <row r="35" spans="1:27" x14ac:dyDescent="0.25">
      <c r="G35" s="87">
        <v>0</v>
      </c>
      <c r="H35" s="8">
        <v>1</v>
      </c>
      <c r="I35" s="87">
        <v>2</v>
      </c>
      <c r="J35" s="8">
        <v>3</v>
      </c>
      <c r="K35" s="87">
        <v>4</v>
      </c>
      <c r="L35" s="8">
        <v>5</v>
      </c>
      <c r="M35" s="87">
        <v>6</v>
      </c>
      <c r="N35" s="8">
        <v>7</v>
      </c>
      <c r="O35" s="87">
        <v>8</v>
      </c>
      <c r="P35" s="8">
        <v>9</v>
      </c>
      <c r="Q35" s="87">
        <v>10</v>
      </c>
      <c r="R35" s="8">
        <v>11</v>
      </c>
      <c r="S35" s="87">
        <v>12</v>
      </c>
      <c r="T35" s="8">
        <v>13</v>
      </c>
      <c r="U35" s="87">
        <v>14</v>
      </c>
      <c r="V35" s="8">
        <v>15</v>
      </c>
      <c r="W35" s="87">
        <v>16</v>
      </c>
      <c r="X35" s="8">
        <v>17</v>
      </c>
      <c r="Y35" s="87">
        <v>18</v>
      </c>
      <c r="Z35" s="8">
        <v>19</v>
      </c>
      <c r="AA35" s="87">
        <v>20</v>
      </c>
    </row>
    <row r="36" spans="1:27" x14ac:dyDescent="0.25">
      <c r="G36" s="92" t="s">
        <v>279</v>
      </c>
      <c r="H36" s="92" t="s">
        <v>20</v>
      </c>
      <c r="I36" s="92" t="s">
        <v>21</v>
      </c>
      <c r="J36" s="92" t="s">
        <v>22</v>
      </c>
      <c r="K36" s="92" t="s">
        <v>23</v>
      </c>
      <c r="L36" s="92" t="s">
        <v>24</v>
      </c>
      <c r="M36" s="92" t="s">
        <v>25</v>
      </c>
      <c r="N36" s="92" t="s">
        <v>26</v>
      </c>
      <c r="O36" s="92" t="s">
        <v>27</v>
      </c>
      <c r="P36" s="92" t="s">
        <v>28</v>
      </c>
      <c r="Q36" s="92" t="s">
        <v>29</v>
      </c>
      <c r="R36" s="92" t="s">
        <v>30</v>
      </c>
      <c r="S36" s="92" t="s">
        <v>31</v>
      </c>
      <c r="T36" s="92" t="s">
        <v>32</v>
      </c>
      <c r="U36" s="92" t="s">
        <v>33</v>
      </c>
      <c r="V36" s="92" t="s">
        <v>34</v>
      </c>
      <c r="W36" s="92" t="s">
        <v>35</v>
      </c>
      <c r="X36" s="92" t="s">
        <v>36</v>
      </c>
      <c r="Y36" s="92" t="s">
        <v>37</v>
      </c>
      <c r="Z36" s="92" t="s">
        <v>38</v>
      </c>
      <c r="AA36" s="92" t="s">
        <v>39</v>
      </c>
    </row>
    <row r="37" spans="1:27" x14ac:dyDescent="0.25">
      <c r="B37" s="400" t="s">
        <v>230</v>
      </c>
      <c r="C37" s="401"/>
      <c r="D37" s="401"/>
      <c r="E37" s="401"/>
      <c r="F37" s="402"/>
      <c r="G37" s="96"/>
      <c r="H37" s="96"/>
      <c r="I37" s="96"/>
      <c r="J37" s="96"/>
      <c r="K37" s="96"/>
      <c r="L37" s="96"/>
      <c r="M37" s="96"/>
      <c r="N37" s="96"/>
      <c r="O37" s="96"/>
      <c r="P37" s="96"/>
      <c r="Q37" s="96"/>
      <c r="R37" s="96"/>
      <c r="S37" s="96"/>
      <c r="T37" s="96"/>
      <c r="U37" s="96"/>
      <c r="V37" s="96"/>
      <c r="W37" s="96"/>
      <c r="X37" s="96"/>
      <c r="Y37" s="96"/>
      <c r="Z37" s="96"/>
      <c r="AA37" s="96"/>
    </row>
    <row r="38" spans="1:27" x14ac:dyDescent="0.25">
      <c r="B38" s="394" t="s">
        <v>231</v>
      </c>
      <c r="C38" s="395"/>
      <c r="D38" s="395"/>
      <c r="E38" s="395"/>
      <c r="F38" s="396"/>
      <c r="G38" s="155">
        <f>SUM(G39:G40)</f>
        <v>3745644.2577</v>
      </c>
      <c r="H38" s="155">
        <f t="shared" ref="H38:AA38" si="2">SUM(H39:H40)</f>
        <v>4651852.1908346787</v>
      </c>
      <c r="I38" s="155">
        <f t="shared" si="2"/>
        <v>5997488.1275070012</v>
      </c>
      <c r="J38" s="155">
        <f t="shared" si="2"/>
        <v>7974778.0217371965</v>
      </c>
      <c r="K38" s="155">
        <f t="shared" si="2"/>
        <v>10825351.852700386</v>
      </c>
      <c r="L38" s="155">
        <f t="shared" si="2"/>
        <v>14868602.549508952</v>
      </c>
      <c r="M38" s="155">
        <f t="shared" si="2"/>
        <v>20543625.334821183</v>
      </c>
      <c r="N38" s="155">
        <f t="shared" si="2"/>
        <v>28473513.57210822</v>
      </c>
      <c r="O38" s="155">
        <f t="shared" si="2"/>
        <v>39566625.514478341</v>
      </c>
      <c r="P38" s="155">
        <f t="shared" si="2"/>
        <v>55179738.061794341</v>
      </c>
      <c r="Q38" s="155">
        <f t="shared" si="2"/>
        <v>77386439.4256787</v>
      </c>
      <c r="R38" s="155">
        <f t="shared" si="2"/>
        <v>111759066.48323219</v>
      </c>
      <c r="S38" s="155">
        <f t="shared" si="2"/>
        <v>161031928.42056212</v>
      </c>
      <c r="T38" s="155">
        <f t="shared" si="2"/>
        <v>233673133.75536868</v>
      </c>
      <c r="U38" s="155">
        <f t="shared" si="2"/>
        <v>343847241.66579288</v>
      </c>
      <c r="V38" s="155">
        <f t="shared" si="2"/>
        <v>515806740.46882337</v>
      </c>
      <c r="W38" s="155">
        <f t="shared" si="2"/>
        <v>792075626.13200688</v>
      </c>
      <c r="X38" s="155">
        <f t="shared" si="2"/>
        <v>1068366640.948333</v>
      </c>
      <c r="Y38" s="155">
        <f t="shared" si="2"/>
        <v>1344680521.8194385</v>
      </c>
      <c r="Z38" s="155">
        <f t="shared" si="2"/>
        <v>1621018030.0908744</v>
      </c>
      <c r="AA38" s="155">
        <f t="shared" si="2"/>
        <v>1904065912.2101903</v>
      </c>
    </row>
    <row r="39" spans="1:27" x14ac:dyDescent="0.25">
      <c r="B39" s="391" t="s">
        <v>232</v>
      </c>
      <c r="C39" s="392"/>
      <c r="D39" s="392"/>
      <c r="E39" s="392"/>
      <c r="F39" s="393"/>
      <c r="G39" s="79">
        <v>0</v>
      </c>
      <c r="H39" s="79">
        <f>H30</f>
        <v>906207.93313467875</v>
      </c>
      <c r="I39" s="79">
        <f t="shared" ref="I39:AA39" si="3">H39+I30</f>
        <v>2251843.8698070012</v>
      </c>
      <c r="J39" s="79">
        <f t="shared" si="3"/>
        <v>4229133.7640371965</v>
      </c>
      <c r="K39" s="79">
        <f t="shared" si="3"/>
        <v>7079707.5950003862</v>
      </c>
      <c r="L39" s="79">
        <f t="shared" si="3"/>
        <v>11122958.291808952</v>
      </c>
      <c r="M39" s="79">
        <f t="shared" si="3"/>
        <v>16797981.077121183</v>
      </c>
      <c r="N39" s="79">
        <f t="shared" si="3"/>
        <v>24727869.31440822</v>
      </c>
      <c r="O39" s="79">
        <f t="shared" si="3"/>
        <v>35820981.256778337</v>
      </c>
      <c r="P39" s="79">
        <f t="shared" si="3"/>
        <v>51434093.804094344</v>
      </c>
      <c r="Q39" s="79">
        <f t="shared" si="3"/>
        <v>73640795.167978704</v>
      </c>
      <c r="R39" s="79">
        <f t="shared" si="3"/>
        <v>108013422.22553219</v>
      </c>
      <c r="S39" s="79">
        <f t="shared" si="3"/>
        <v>157286284.16286212</v>
      </c>
      <c r="T39" s="79">
        <f t="shared" si="3"/>
        <v>229927489.49766868</v>
      </c>
      <c r="U39" s="79">
        <f t="shared" si="3"/>
        <v>340101597.40809286</v>
      </c>
      <c r="V39" s="79">
        <f t="shared" si="3"/>
        <v>512061096.21112335</v>
      </c>
      <c r="W39" s="79">
        <f t="shared" si="3"/>
        <v>788329981.87430692</v>
      </c>
      <c r="X39" s="79">
        <f t="shared" si="3"/>
        <v>1064620996.6906331</v>
      </c>
      <c r="Y39" s="79">
        <f t="shared" si="3"/>
        <v>1340934877.5617385</v>
      </c>
      <c r="Z39" s="79">
        <f t="shared" si="3"/>
        <v>1617272385.8331745</v>
      </c>
      <c r="AA39" s="79">
        <f t="shared" si="3"/>
        <v>1900320267.9524903</v>
      </c>
    </row>
    <row r="40" spans="1:27" x14ac:dyDescent="0.25">
      <c r="B40" s="391" t="s">
        <v>183</v>
      </c>
      <c r="C40" s="392"/>
      <c r="D40" s="392"/>
      <c r="E40" s="392"/>
      <c r="F40" s="393"/>
      <c r="G40" s="79">
        <f>'Cap. de Trab.'!D14</f>
        <v>3745644.2577</v>
      </c>
      <c r="H40" s="79">
        <v>3745644.2577</v>
      </c>
      <c r="I40" s="79">
        <v>3745644.2577</v>
      </c>
      <c r="J40" s="79">
        <v>3745644.2577</v>
      </c>
      <c r="K40" s="79">
        <v>3745644.2577</v>
      </c>
      <c r="L40" s="79">
        <v>3745644.2577</v>
      </c>
      <c r="M40" s="79">
        <v>3745644.2577</v>
      </c>
      <c r="N40" s="79">
        <v>3745644.2577</v>
      </c>
      <c r="O40" s="79">
        <v>3745644.2577</v>
      </c>
      <c r="P40" s="79">
        <v>3745644.2577</v>
      </c>
      <c r="Q40" s="79">
        <v>3745644.2577</v>
      </c>
      <c r="R40" s="79">
        <v>3745644.2577</v>
      </c>
      <c r="S40" s="79">
        <v>3745644.2577</v>
      </c>
      <c r="T40" s="79">
        <v>3745644.2577</v>
      </c>
      <c r="U40" s="79">
        <v>3745644.2577</v>
      </c>
      <c r="V40" s="79">
        <v>3745644.2577</v>
      </c>
      <c r="W40" s="79">
        <v>3745644.2577</v>
      </c>
      <c r="X40" s="79">
        <v>3745644.2577</v>
      </c>
      <c r="Y40" s="79">
        <v>3745644.2577</v>
      </c>
      <c r="Z40" s="79">
        <v>3745644.2577</v>
      </c>
      <c r="AA40" s="79">
        <v>3745644.2577</v>
      </c>
    </row>
    <row r="41" spans="1:27" x14ac:dyDescent="0.25">
      <c r="A41" s="98"/>
      <c r="B41" s="403" t="s">
        <v>233</v>
      </c>
      <c r="C41" s="403"/>
      <c r="D41" s="403"/>
      <c r="E41" s="403"/>
      <c r="F41" s="403"/>
      <c r="G41" s="155">
        <f>SUM(G42:G46)</f>
        <v>29665414.876033064</v>
      </c>
      <c r="H41" s="155">
        <f>G41</f>
        <v>29665414.876033064</v>
      </c>
      <c r="I41" s="155">
        <f t="shared" ref="I41:Z41" si="4">SUM(I42:I46)</f>
        <v>29665414.876033064</v>
      </c>
      <c r="J41" s="155">
        <f t="shared" si="4"/>
        <v>29665414.876033064</v>
      </c>
      <c r="K41" s="155">
        <f t="shared" si="4"/>
        <v>29665414.876033064</v>
      </c>
      <c r="L41" s="155">
        <f t="shared" si="4"/>
        <v>29665414.876033064</v>
      </c>
      <c r="M41" s="155">
        <f t="shared" si="4"/>
        <v>29665414.876033064</v>
      </c>
      <c r="N41" s="155">
        <f t="shared" si="4"/>
        <v>29665414.876033064</v>
      </c>
      <c r="O41" s="155">
        <f t="shared" si="4"/>
        <v>29665414.876033064</v>
      </c>
      <c r="P41" s="155">
        <f t="shared" si="4"/>
        <v>29665414.876033064</v>
      </c>
      <c r="Q41" s="155">
        <f t="shared" si="4"/>
        <v>29665414.876033064</v>
      </c>
      <c r="R41" s="155">
        <f t="shared" si="4"/>
        <v>29665414.876033064</v>
      </c>
      <c r="S41" s="155">
        <f t="shared" si="4"/>
        <v>29665414.876033064</v>
      </c>
      <c r="T41" s="155">
        <f t="shared" si="4"/>
        <v>29665414.876033064</v>
      </c>
      <c r="U41" s="155">
        <f t="shared" si="4"/>
        <v>29665414.876033064</v>
      </c>
      <c r="V41" s="155">
        <f t="shared" si="4"/>
        <v>29665414.876033064</v>
      </c>
      <c r="W41" s="155">
        <f t="shared" si="4"/>
        <v>29665414.876033064</v>
      </c>
      <c r="X41" s="155">
        <f t="shared" si="4"/>
        <v>29665414.876033064</v>
      </c>
      <c r="Y41" s="155">
        <f t="shared" si="4"/>
        <v>29665414.876033064</v>
      </c>
      <c r="Z41" s="155">
        <f t="shared" si="4"/>
        <v>29665414.876033064</v>
      </c>
      <c r="AA41" s="155">
        <f t="shared" ref="AA41" si="5">SUM(AA42:AA46)</f>
        <v>29665414.876033064</v>
      </c>
    </row>
    <row r="42" spans="1:27" x14ac:dyDescent="0.25">
      <c r="A42" s="99"/>
      <c r="B42" s="305" t="s">
        <v>234</v>
      </c>
      <c r="C42" s="305"/>
      <c r="D42" s="305"/>
      <c r="E42" s="305"/>
      <c r="F42" s="305"/>
      <c r="G42" s="79">
        <f>'Inv. y Dep.'!E47</f>
        <v>23672898.071625348</v>
      </c>
      <c r="H42" s="79">
        <f>G42-$A$42</f>
        <v>23672898.071625348</v>
      </c>
      <c r="I42" s="79">
        <f>H42-$A$42</f>
        <v>23672898.071625348</v>
      </c>
      <c r="J42" s="79">
        <f t="shared" ref="J42:AA42" si="6">I42-$A$42</f>
        <v>23672898.071625348</v>
      </c>
      <c r="K42" s="79">
        <f t="shared" si="6"/>
        <v>23672898.071625348</v>
      </c>
      <c r="L42" s="79">
        <f t="shared" si="6"/>
        <v>23672898.071625348</v>
      </c>
      <c r="M42" s="79">
        <f t="shared" si="6"/>
        <v>23672898.071625348</v>
      </c>
      <c r="N42" s="79">
        <f t="shared" si="6"/>
        <v>23672898.071625348</v>
      </c>
      <c r="O42" s="79">
        <f t="shared" si="6"/>
        <v>23672898.071625348</v>
      </c>
      <c r="P42" s="79">
        <f t="shared" si="6"/>
        <v>23672898.071625348</v>
      </c>
      <c r="Q42" s="79">
        <f t="shared" si="6"/>
        <v>23672898.071625348</v>
      </c>
      <c r="R42" s="79">
        <f t="shared" si="6"/>
        <v>23672898.071625348</v>
      </c>
      <c r="S42" s="79">
        <f t="shared" si="6"/>
        <v>23672898.071625348</v>
      </c>
      <c r="T42" s="79">
        <f t="shared" si="6"/>
        <v>23672898.071625348</v>
      </c>
      <c r="U42" s="79">
        <f t="shared" si="6"/>
        <v>23672898.071625348</v>
      </c>
      <c r="V42" s="79">
        <f t="shared" si="6"/>
        <v>23672898.071625348</v>
      </c>
      <c r="W42" s="79">
        <f t="shared" si="6"/>
        <v>23672898.071625348</v>
      </c>
      <c r="X42" s="79">
        <f t="shared" si="6"/>
        <v>23672898.071625348</v>
      </c>
      <c r="Y42" s="79">
        <f t="shared" si="6"/>
        <v>23672898.071625348</v>
      </c>
      <c r="Z42" s="79">
        <f t="shared" si="6"/>
        <v>23672898.071625348</v>
      </c>
      <c r="AA42" s="79">
        <f t="shared" si="6"/>
        <v>23672898.071625348</v>
      </c>
    </row>
    <row r="43" spans="1:27" x14ac:dyDescent="0.25">
      <c r="A43" s="99"/>
      <c r="B43" s="305" t="s">
        <v>235</v>
      </c>
      <c r="C43" s="305"/>
      <c r="D43" s="305"/>
      <c r="E43" s="305"/>
      <c r="F43" s="305"/>
      <c r="G43" s="79">
        <f>'Inv. y Dep.'!E48</f>
        <v>1831894.2148760331</v>
      </c>
      <c r="H43" s="79">
        <f>G43-$A$43</f>
        <v>1831894.2148760331</v>
      </c>
      <c r="I43" s="79">
        <f t="shared" ref="I43:AA43" si="7">H43-$A$43</f>
        <v>1831894.2148760331</v>
      </c>
      <c r="J43" s="79">
        <f t="shared" si="7"/>
        <v>1831894.2148760331</v>
      </c>
      <c r="K43" s="79">
        <f t="shared" si="7"/>
        <v>1831894.2148760331</v>
      </c>
      <c r="L43" s="79">
        <f t="shared" si="7"/>
        <v>1831894.2148760331</v>
      </c>
      <c r="M43" s="79">
        <f t="shared" si="7"/>
        <v>1831894.2148760331</v>
      </c>
      <c r="N43" s="79">
        <f t="shared" si="7"/>
        <v>1831894.2148760331</v>
      </c>
      <c r="O43" s="79">
        <f t="shared" si="7"/>
        <v>1831894.2148760331</v>
      </c>
      <c r="P43" s="79">
        <f t="shared" si="7"/>
        <v>1831894.2148760331</v>
      </c>
      <c r="Q43" s="79">
        <f t="shared" si="7"/>
        <v>1831894.2148760331</v>
      </c>
      <c r="R43" s="79">
        <f t="shared" si="7"/>
        <v>1831894.2148760331</v>
      </c>
      <c r="S43" s="79">
        <f t="shared" si="7"/>
        <v>1831894.2148760331</v>
      </c>
      <c r="T43" s="79">
        <f t="shared" si="7"/>
        <v>1831894.2148760331</v>
      </c>
      <c r="U43" s="79">
        <f t="shared" si="7"/>
        <v>1831894.2148760331</v>
      </c>
      <c r="V43" s="79">
        <f t="shared" si="7"/>
        <v>1831894.2148760331</v>
      </c>
      <c r="W43" s="79">
        <f t="shared" si="7"/>
        <v>1831894.2148760331</v>
      </c>
      <c r="X43" s="79">
        <f t="shared" si="7"/>
        <v>1831894.2148760331</v>
      </c>
      <c r="Y43" s="79">
        <f t="shared" si="7"/>
        <v>1831894.2148760331</v>
      </c>
      <c r="Z43" s="79">
        <f>Y43-$A$43</f>
        <v>1831894.2148760331</v>
      </c>
      <c r="AA43" s="79">
        <f t="shared" si="7"/>
        <v>1831894.2148760331</v>
      </c>
    </row>
    <row r="44" spans="1:27" x14ac:dyDescent="0.25">
      <c r="A44" s="99"/>
      <c r="B44" s="305" t="s">
        <v>236</v>
      </c>
      <c r="C44" s="305"/>
      <c r="D44" s="305"/>
      <c r="E44" s="305"/>
      <c r="F44" s="305"/>
      <c r="G44" s="79">
        <f>'Inv. y Dep.'!E49</f>
        <v>2548363.6363636367</v>
      </c>
      <c r="H44" s="79">
        <f>G44-$A$44</f>
        <v>2548363.6363636367</v>
      </c>
      <c r="I44" s="79">
        <f t="shared" ref="I44:AA44" si="8">H44-$A$44</f>
        <v>2548363.6363636367</v>
      </c>
      <c r="J44" s="79">
        <f t="shared" si="8"/>
        <v>2548363.6363636367</v>
      </c>
      <c r="K44" s="79">
        <f t="shared" si="8"/>
        <v>2548363.6363636367</v>
      </c>
      <c r="L44" s="79">
        <f t="shared" si="8"/>
        <v>2548363.6363636367</v>
      </c>
      <c r="M44" s="79">
        <f t="shared" si="8"/>
        <v>2548363.6363636367</v>
      </c>
      <c r="N44" s="79">
        <f t="shared" si="8"/>
        <v>2548363.6363636367</v>
      </c>
      <c r="O44" s="79">
        <f t="shared" si="8"/>
        <v>2548363.6363636367</v>
      </c>
      <c r="P44" s="79">
        <f t="shared" si="8"/>
        <v>2548363.6363636367</v>
      </c>
      <c r="Q44" s="79">
        <f t="shared" si="8"/>
        <v>2548363.6363636367</v>
      </c>
      <c r="R44" s="79">
        <f t="shared" si="8"/>
        <v>2548363.6363636367</v>
      </c>
      <c r="S44" s="79">
        <f t="shared" si="8"/>
        <v>2548363.6363636367</v>
      </c>
      <c r="T44" s="79">
        <f t="shared" si="8"/>
        <v>2548363.6363636367</v>
      </c>
      <c r="U44" s="79">
        <f t="shared" si="8"/>
        <v>2548363.6363636367</v>
      </c>
      <c r="V44" s="79">
        <f t="shared" si="8"/>
        <v>2548363.6363636367</v>
      </c>
      <c r="W44" s="79">
        <f t="shared" si="8"/>
        <v>2548363.6363636367</v>
      </c>
      <c r="X44" s="79">
        <f t="shared" si="8"/>
        <v>2548363.6363636367</v>
      </c>
      <c r="Y44" s="79">
        <f t="shared" si="8"/>
        <v>2548363.6363636367</v>
      </c>
      <c r="Z44" s="79">
        <f t="shared" si="8"/>
        <v>2548363.6363636367</v>
      </c>
      <c r="AA44" s="79">
        <f t="shared" si="8"/>
        <v>2548363.6363636367</v>
      </c>
    </row>
    <row r="45" spans="1:27" x14ac:dyDescent="0.25">
      <c r="A45" s="99"/>
      <c r="B45" s="305" t="s">
        <v>244</v>
      </c>
      <c r="C45" s="305"/>
      <c r="D45" s="305"/>
      <c r="E45" s="305"/>
      <c r="F45" s="305"/>
      <c r="G45" s="79">
        <f>'Inv. y Dep.'!E50</f>
        <v>262258.9531680441</v>
      </c>
      <c r="H45" s="79">
        <f>G45-$A$45</f>
        <v>262258.9531680441</v>
      </c>
      <c r="I45" s="79">
        <f t="shared" ref="I45:AA45" si="9">H45-$A$45</f>
        <v>262258.9531680441</v>
      </c>
      <c r="J45" s="79">
        <f t="shared" si="9"/>
        <v>262258.9531680441</v>
      </c>
      <c r="K45" s="79">
        <f t="shared" si="9"/>
        <v>262258.9531680441</v>
      </c>
      <c r="L45" s="79">
        <f t="shared" si="9"/>
        <v>262258.9531680441</v>
      </c>
      <c r="M45" s="79">
        <f t="shared" si="9"/>
        <v>262258.9531680441</v>
      </c>
      <c r="N45" s="79">
        <f t="shared" si="9"/>
        <v>262258.9531680441</v>
      </c>
      <c r="O45" s="79">
        <f t="shared" si="9"/>
        <v>262258.9531680441</v>
      </c>
      <c r="P45" s="79">
        <f t="shared" si="9"/>
        <v>262258.9531680441</v>
      </c>
      <c r="Q45" s="79">
        <f t="shared" si="9"/>
        <v>262258.9531680441</v>
      </c>
      <c r="R45" s="79">
        <f t="shared" si="9"/>
        <v>262258.9531680441</v>
      </c>
      <c r="S45" s="79">
        <f t="shared" si="9"/>
        <v>262258.9531680441</v>
      </c>
      <c r="T45" s="79">
        <f t="shared" si="9"/>
        <v>262258.9531680441</v>
      </c>
      <c r="U45" s="79">
        <f t="shared" si="9"/>
        <v>262258.9531680441</v>
      </c>
      <c r="V45" s="79">
        <f t="shared" si="9"/>
        <v>262258.9531680441</v>
      </c>
      <c r="W45" s="79">
        <f t="shared" si="9"/>
        <v>262258.9531680441</v>
      </c>
      <c r="X45" s="79">
        <f t="shared" si="9"/>
        <v>262258.9531680441</v>
      </c>
      <c r="Y45" s="79">
        <f t="shared" si="9"/>
        <v>262258.9531680441</v>
      </c>
      <c r="Z45" s="79">
        <f t="shared" si="9"/>
        <v>262258.9531680441</v>
      </c>
      <c r="AA45" s="79">
        <f t="shared" si="9"/>
        <v>262258.9531680441</v>
      </c>
    </row>
    <row r="46" spans="1:27" x14ac:dyDescent="0.25">
      <c r="A46" s="99"/>
      <c r="B46" s="305" t="s">
        <v>237</v>
      </c>
      <c r="C46" s="305"/>
      <c r="D46" s="305"/>
      <c r="E46" s="305"/>
      <c r="F46" s="305"/>
      <c r="G46" s="79">
        <f>'Inv. y Dep.'!E51</f>
        <v>1350000</v>
      </c>
      <c r="H46" s="79">
        <f>G46-$A$46</f>
        <v>1350000</v>
      </c>
      <c r="I46" s="79">
        <f t="shared" ref="I46:AA46" si="10">H46-$A$46</f>
        <v>1350000</v>
      </c>
      <c r="J46" s="79">
        <f t="shared" si="10"/>
        <v>1350000</v>
      </c>
      <c r="K46" s="79">
        <f t="shared" si="10"/>
        <v>1350000</v>
      </c>
      <c r="L46" s="79">
        <f t="shared" si="10"/>
        <v>1350000</v>
      </c>
      <c r="M46" s="79">
        <f t="shared" si="10"/>
        <v>1350000</v>
      </c>
      <c r="N46" s="79">
        <f t="shared" si="10"/>
        <v>1350000</v>
      </c>
      <c r="O46" s="79">
        <f t="shared" si="10"/>
        <v>1350000</v>
      </c>
      <c r="P46" s="79">
        <f t="shared" si="10"/>
        <v>1350000</v>
      </c>
      <c r="Q46" s="79">
        <f t="shared" si="10"/>
        <v>1350000</v>
      </c>
      <c r="R46" s="79">
        <f t="shared" si="10"/>
        <v>1350000</v>
      </c>
      <c r="S46" s="79">
        <f t="shared" si="10"/>
        <v>1350000</v>
      </c>
      <c r="T46" s="79">
        <f t="shared" si="10"/>
        <v>1350000</v>
      </c>
      <c r="U46" s="79">
        <f t="shared" si="10"/>
        <v>1350000</v>
      </c>
      <c r="V46" s="79">
        <f t="shared" si="10"/>
        <v>1350000</v>
      </c>
      <c r="W46" s="79">
        <f t="shared" si="10"/>
        <v>1350000</v>
      </c>
      <c r="X46" s="79">
        <f t="shared" si="10"/>
        <v>1350000</v>
      </c>
      <c r="Y46" s="79">
        <f t="shared" si="10"/>
        <v>1350000</v>
      </c>
      <c r="Z46" s="79">
        <f t="shared" si="10"/>
        <v>1350000</v>
      </c>
      <c r="AA46" s="79">
        <f t="shared" si="10"/>
        <v>1350000</v>
      </c>
    </row>
    <row r="47" spans="1:27" x14ac:dyDescent="0.25">
      <c r="B47" s="394" t="s">
        <v>238</v>
      </c>
      <c r="C47" s="395"/>
      <c r="D47" s="395"/>
      <c r="E47" s="395"/>
      <c r="F47" s="396"/>
      <c r="G47" s="155">
        <v>5351000</v>
      </c>
      <c r="H47" s="155">
        <v>5351000</v>
      </c>
      <c r="I47" s="155">
        <v>5351000</v>
      </c>
      <c r="J47" s="155">
        <v>5351000</v>
      </c>
      <c r="K47" s="155">
        <v>5351000</v>
      </c>
      <c r="L47" s="155">
        <v>5351000</v>
      </c>
      <c r="M47" s="155">
        <v>5351000</v>
      </c>
      <c r="N47" s="155">
        <v>5351000</v>
      </c>
      <c r="O47" s="155">
        <v>5351000</v>
      </c>
      <c r="P47" s="155">
        <v>5351000</v>
      </c>
      <c r="Q47" s="155">
        <v>5351000</v>
      </c>
      <c r="R47" s="155">
        <v>5351000</v>
      </c>
      <c r="S47" s="155">
        <v>5351000</v>
      </c>
      <c r="T47" s="155">
        <v>5351000</v>
      </c>
      <c r="U47" s="155">
        <v>5351000</v>
      </c>
      <c r="V47" s="155">
        <v>5351000</v>
      </c>
      <c r="W47" s="155">
        <v>5351000</v>
      </c>
      <c r="X47" s="155">
        <v>5351000</v>
      </c>
      <c r="Y47" s="155">
        <v>5351000</v>
      </c>
      <c r="Z47" s="155">
        <v>5351000</v>
      </c>
      <c r="AA47" s="155">
        <v>5351000</v>
      </c>
    </row>
    <row r="48" spans="1:27" x14ac:dyDescent="0.25">
      <c r="B48" s="387" t="s">
        <v>248</v>
      </c>
      <c r="C48" s="388"/>
      <c r="D48" s="388"/>
      <c r="E48" s="388"/>
      <c r="F48" s="389"/>
      <c r="G48" s="101"/>
      <c r="H48" s="101">
        <f>-I25</f>
        <v>-1375593.8071625347</v>
      </c>
      <c r="I48" s="101">
        <f t="shared" ref="I48:Z48" si="11">-J25+H48</f>
        <v>-2751187.6143250694</v>
      </c>
      <c r="J48" s="101">
        <f t="shared" si="11"/>
        <v>-4126781.4214876043</v>
      </c>
      <c r="K48" s="101">
        <f t="shared" si="11"/>
        <v>-5502375.2286501387</v>
      </c>
      <c r="L48" s="101">
        <f t="shared" si="11"/>
        <v>-6877969.0358126732</v>
      </c>
      <c r="M48" s="101">
        <f t="shared" si="11"/>
        <v>-8253562.8429752076</v>
      </c>
      <c r="N48" s="101">
        <f t="shared" si="11"/>
        <v>-9629156.650137743</v>
      </c>
      <c r="O48" s="101">
        <f t="shared" si="11"/>
        <v>-11004750.457300277</v>
      </c>
      <c r="P48" s="101">
        <f t="shared" si="11"/>
        <v>-12380344.264462812</v>
      </c>
      <c r="Q48" s="101">
        <f t="shared" si="11"/>
        <v>-13755938.071625346</v>
      </c>
      <c r="R48" s="101">
        <f t="shared" si="11"/>
        <v>-15131531.878787881</v>
      </c>
      <c r="S48" s="101">
        <f t="shared" si="11"/>
        <v>-16507125.685950415</v>
      </c>
      <c r="T48" s="101">
        <f t="shared" si="11"/>
        <v>-17882719.493112952</v>
      </c>
      <c r="U48" s="101">
        <f t="shared" si="11"/>
        <v>-19258313.300275486</v>
      </c>
      <c r="V48" s="101">
        <f t="shared" si="11"/>
        <v>-20633907.10743802</v>
      </c>
      <c r="W48" s="101">
        <f t="shared" si="11"/>
        <v>-22009500.914600555</v>
      </c>
      <c r="X48" s="101">
        <f t="shared" si="11"/>
        <v>-23385094.721763089</v>
      </c>
      <c r="Y48" s="101">
        <f t="shared" si="11"/>
        <v>-24760688.528925624</v>
      </c>
      <c r="Z48" s="101">
        <f t="shared" si="11"/>
        <v>-26136282.336088158</v>
      </c>
      <c r="AA48" s="101">
        <f>-AA25+Z48</f>
        <v>-27511876.143250693</v>
      </c>
    </row>
    <row r="49" spans="2:27" s="26" customFormat="1" x14ac:dyDescent="0.25">
      <c r="B49" s="384" t="s">
        <v>245</v>
      </c>
      <c r="C49" s="385"/>
      <c r="D49" s="385"/>
      <c r="E49" s="385"/>
      <c r="F49" s="386"/>
      <c r="G49" s="100">
        <f>G47+G41+G38</f>
        <v>38762059.133733064</v>
      </c>
      <c r="H49" s="100">
        <f>H38+H41+H47+H48</f>
        <v>38292673.259705201</v>
      </c>
      <c r="I49" s="100">
        <f>I38+I41+I47+I48</f>
        <v>38262715.389215</v>
      </c>
      <c r="J49" s="100">
        <f t="shared" ref="J49:AA49" si="12">J38+J41+J47+J48</f>
        <v>38864411.476282656</v>
      </c>
      <c r="K49" s="100">
        <f t="shared" si="12"/>
        <v>40339391.500083312</v>
      </c>
      <c r="L49" s="100">
        <f t="shared" si="12"/>
        <v>43007048.389729336</v>
      </c>
      <c r="M49" s="100">
        <f t="shared" si="12"/>
        <v>47306477.367879041</v>
      </c>
      <c r="N49" s="100">
        <f t="shared" si="12"/>
        <v>53860771.798003539</v>
      </c>
      <c r="O49" s="100">
        <f t="shared" si="12"/>
        <v>63578289.933211133</v>
      </c>
      <c r="P49" s="100">
        <f t="shared" si="12"/>
        <v>77815808.673364595</v>
      </c>
      <c r="Q49" s="100">
        <f t="shared" si="12"/>
        <v>98646916.230086416</v>
      </c>
      <c r="R49" s="100">
        <f t="shared" si="12"/>
        <v>131643949.48047736</v>
      </c>
      <c r="S49" s="100">
        <f t="shared" si="12"/>
        <v>179541217.61064476</v>
      </c>
      <c r="T49" s="100">
        <f t="shared" si="12"/>
        <v>250806829.13828883</v>
      </c>
      <c r="U49" s="100">
        <f t="shared" si="12"/>
        <v>359605343.24155045</v>
      </c>
      <c r="V49" s="100">
        <f t="shared" si="12"/>
        <v>530189248.23741835</v>
      </c>
      <c r="W49" s="100">
        <f t="shared" si="12"/>
        <v>805082540.09343934</v>
      </c>
      <c r="X49" s="100">
        <f t="shared" si="12"/>
        <v>1079997961.102603</v>
      </c>
      <c r="Y49" s="100">
        <f t="shared" si="12"/>
        <v>1354936248.1665459</v>
      </c>
      <c r="Z49" s="100">
        <f t="shared" si="12"/>
        <v>1629898162.6308193</v>
      </c>
      <c r="AA49" s="100">
        <f t="shared" si="12"/>
        <v>1911570450.9429727</v>
      </c>
    </row>
    <row r="50" spans="2:27" x14ac:dyDescent="0.25">
      <c r="B50" s="400" t="s">
        <v>239</v>
      </c>
      <c r="C50" s="401"/>
      <c r="D50" s="401"/>
      <c r="E50" s="401"/>
      <c r="F50" s="402"/>
      <c r="G50" s="102"/>
      <c r="H50" s="97"/>
      <c r="I50" s="97"/>
      <c r="J50" s="97"/>
      <c r="K50" s="97"/>
      <c r="L50" s="97"/>
      <c r="M50" s="97"/>
      <c r="N50" s="97"/>
      <c r="O50" s="97"/>
      <c r="P50" s="97"/>
      <c r="Q50" s="97"/>
      <c r="R50" s="97"/>
      <c r="S50" s="97"/>
      <c r="T50" s="97"/>
      <c r="U50" s="97"/>
      <c r="V50" s="97"/>
      <c r="W50" s="97"/>
      <c r="X50" s="97"/>
      <c r="Y50" s="97"/>
      <c r="Z50" s="97"/>
      <c r="AA50" s="97"/>
    </row>
    <row r="51" spans="2:27" x14ac:dyDescent="0.25">
      <c r="B51" s="397" t="s">
        <v>240</v>
      </c>
      <c r="C51" s="398"/>
      <c r="D51" s="398"/>
      <c r="E51" s="398"/>
      <c r="F51" s="399"/>
      <c r="G51" s="93"/>
      <c r="H51" s="93"/>
      <c r="I51" s="93"/>
      <c r="J51" s="93"/>
      <c r="K51" s="93"/>
      <c r="L51" s="93"/>
      <c r="M51" s="93"/>
      <c r="N51" s="93"/>
      <c r="O51" s="93"/>
      <c r="P51" s="93"/>
      <c r="Q51" s="93"/>
      <c r="R51" s="93"/>
      <c r="S51" s="93"/>
      <c r="T51" s="93"/>
      <c r="U51" s="93"/>
      <c r="V51" s="93"/>
      <c r="W51" s="93"/>
      <c r="X51" s="93"/>
      <c r="Y51" s="93"/>
      <c r="Z51" s="93"/>
      <c r="AA51" s="93"/>
    </row>
    <row r="52" spans="2:27" x14ac:dyDescent="0.25">
      <c r="B52" s="391" t="s">
        <v>241</v>
      </c>
      <c r="C52" s="392"/>
      <c r="D52" s="392"/>
      <c r="E52" s="392"/>
      <c r="F52" s="393"/>
      <c r="G52" s="79">
        <v>23314094.984372102</v>
      </c>
      <c r="H52" s="79">
        <v>20982685.485934898</v>
      </c>
      <c r="I52" s="14">
        <v>18651275.98749765</v>
      </c>
      <c r="J52" s="14">
        <v>16319866.489060443</v>
      </c>
      <c r="K52" s="14">
        <v>13988456.990623236</v>
      </c>
      <c r="L52" s="14">
        <v>11657047.492186029</v>
      </c>
      <c r="M52" s="14">
        <v>9325637.9937488213</v>
      </c>
      <c r="N52" s="14">
        <v>6994228.4953116151</v>
      </c>
      <c r="O52" s="14">
        <v>4662818.9968744088</v>
      </c>
      <c r="P52" s="15">
        <v>2331409.4984372025</v>
      </c>
      <c r="Q52" s="15">
        <v>-3.7252902984619141E-9</v>
      </c>
      <c r="R52" s="79">
        <v>0</v>
      </c>
      <c r="S52" s="15">
        <v>3.7252902984619199E-9</v>
      </c>
      <c r="T52" s="79">
        <v>7.4505805969237901E-9</v>
      </c>
      <c r="U52" s="15">
        <v>1.11758708953858E-8</v>
      </c>
      <c r="V52" s="79">
        <v>1.4901161193847699E-8</v>
      </c>
      <c r="W52" s="15">
        <v>1.86264514923096E-8</v>
      </c>
      <c r="X52" s="79">
        <v>2.2351741790771501E-8</v>
      </c>
      <c r="Y52" s="15">
        <v>2.6077032089233398E-8</v>
      </c>
      <c r="Z52" s="79">
        <v>2.9802322387695299E-8</v>
      </c>
      <c r="AA52" s="15">
        <v>3.35276126861572E-8</v>
      </c>
    </row>
    <row r="53" spans="2:27" x14ac:dyDescent="0.25">
      <c r="B53" s="397" t="s">
        <v>242</v>
      </c>
      <c r="C53" s="398"/>
      <c r="D53" s="398"/>
      <c r="E53" s="398"/>
      <c r="F53" s="399"/>
      <c r="G53" s="93"/>
      <c r="H53" s="163">
        <f>SUM(H54:H55)</f>
        <v>17309987.773770314</v>
      </c>
      <c r="I53" s="163">
        <f t="shared" ref="I53:AA53" si="13">SUM(I54:I55)</f>
        <v>19611439.401717305</v>
      </c>
      <c r="J53" s="163">
        <f t="shared" si="13"/>
        <v>22544544.987222172</v>
      </c>
      <c r="K53" s="163">
        <f t="shared" si="13"/>
        <v>26350934.509460032</v>
      </c>
      <c r="L53" s="163">
        <f t="shared" si="13"/>
        <v>31350000.89754327</v>
      </c>
      <c r="M53" s="163">
        <f t="shared" si="13"/>
        <v>37980839.374130175</v>
      </c>
      <c r="N53" s="163">
        <f t="shared" si="13"/>
        <v>46866543.302691884</v>
      </c>
      <c r="O53" s="163">
        <f t="shared" si="13"/>
        <v>58915470.936336674</v>
      </c>
      <c r="P53" s="163">
        <f t="shared" si="13"/>
        <v>75484399.174927354</v>
      </c>
      <c r="Q53" s="163">
        <f t="shared" si="13"/>
        <v>98646916.230086386</v>
      </c>
      <c r="R53" s="163">
        <f t="shared" si="13"/>
        <v>131643949.48047733</v>
      </c>
      <c r="S53" s="163">
        <f t="shared" si="13"/>
        <v>179541217.61064476</v>
      </c>
      <c r="T53" s="163">
        <f t="shared" si="13"/>
        <v>250806829.1382888</v>
      </c>
      <c r="U53" s="163">
        <f t="shared" si="13"/>
        <v>359605343.24155039</v>
      </c>
      <c r="V53" s="163">
        <f t="shared" si="13"/>
        <v>530189248.23741835</v>
      </c>
      <c r="W53" s="163">
        <f t="shared" si="13"/>
        <v>805082540.09343946</v>
      </c>
      <c r="X53" s="163">
        <f t="shared" si="13"/>
        <v>1079997961.102603</v>
      </c>
      <c r="Y53" s="163">
        <f t="shared" si="13"/>
        <v>1354936248.1665459</v>
      </c>
      <c r="Z53" s="163">
        <f t="shared" si="13"/>
        <v>1629898162.6308193</v>
      </c>
      <c r="AA53" s="163">
        <f t="shared" si="13"/>
        <v>1904884491.0929861</v>
      </c>
    </row>
    <row r="54" spans="2:27" x14ac:dyDescent="0.25">
      <c r="B54" s="391" t="s">
        <v>247</v>
      </c>
      <c r="C54" s="392"/>
      <c r="D54" s="392"/>
      <c r="E54" s="392"/>
      <c r="F54" s="393"/>
      <c r="G54" s="79">
        <f>G49-G52</f>
        <v>15447964.149360962</v>
      </c>
      <c r="H54" s="79">
        <f>+G54</f>
        <v>15447964.149360962</v>
      </c>
      <c r="I54" s="79">
        <f>+H54</f>
        <v>15447964.149360962</v>
      </c>
      <c r="J54" s="79">
        <f t="shared" ref="J54:AA54" si="14">+I54</f>
        <v>15447964.149360962</v>
      </c>
      <c r="K54" s="79">
        <f t="shared" si="14"/>
        <v>15447964.149360962</v>
      </c>
      <c r="L54" s="79">
        <f t="shared" si="14"/>
        <v>15447964.149360962</v>
      </c>
      <c r="M54" s="79">
        <f t="shared" si="14"/>
        <v>15447964.149360962</v>
      </c>
      <c r="N54" s="79">
        <f t="shared" si="14"/>
        <v>15447964.149360962</v>
      </c>
      <c r="O54" s="79">
        <f t="shared" si="14"/>
        <v>15447964.149360962</v>
      </c>
      <c r="P54" s="79">
        <f t="shared" si="14"/>
        <v>15447964.149360962</v>
      </c>
      <c r="Q54" s="79">
        <f t="shared" si="14"/>
        <v>15447964.149360962</v>
      </c>
      <c r="R54" s="79">
        <f t="shared" si="14"/>
        <v>15447964.149360962</v>
      </c>
      <c r="S54" s="79">
        <f t="shared" si="14"/>
        <v>15447964.149360962</v>
      </c>
      <c r="T54" s="79">
        <f t="shared" si="14"/>
        <v>15447964.149360962</v>
      </c>
      <c r="U54" s="79">
        <f t="shared" si="14"/>
        <v>15447964.149360962</v>
      </c>
      <c r="V54" s="79">
        <f t="shared" si="14"/>
        <v>15447964.149360962</v>
      </c>
      <c r="W54" s="79">
        <f t="shared" si="14"/>
        <v>15447964.149360962</v>
      </c>
      <c r="X54" s="79">
        <f t="shared" si="14"/>
        <v>15447964.149360962</v>
      </c>
      <c r="Y54" s="79">
        <f t="shared" si="14"/>
        <v>15447964.149360962</v>
      </c>
      <c r="Z54" s="79">
        <f t="shared" si="14"/>
        <v>15447964.149360962</v>
      </c>
      <c r="AA54" s="79">
        <f t="shared" si="14"/>
        <v>15447964.149360962</v>
      </c>
    </row>
    <row r="55" spans="2:27" x14ac:dyDescent="0.25">
      <c r="B55" s="391" t="s">
        <v>243</v>
      </c>
      <c r="C55" s="392"/>
      <c r="D55" s="392"/>
      <c r="E55" s="392"/>
      <c r="F55" s="393"/>
      <c r="G55" s="93">
        <v>0</v>
      </c>
      <c r="H55" s="79">
        <f>H24</f>
        <v>1862023.6244093501</v>
      </c>
      <c r="I55" s="79">
        <f t="shared" ref="I55:AA55" si="15">I24+H55</f>
        <v>4163475.2523563439</v>
      </c>
      <c r="J55" s="79">
        <f t="shared" si="15"/>
        <v>7096580.8378612101</v>
      </c>
      <c r="K55" s="79">
        <f t="shared" si="15"/>
        <v>10902970.360099072</v>
      </c>
      <c r="L55" s="79">
        <f t="shared" si="15"/>
        <v>15902036.748182308</v>
      </c>
      <c r="M55" s="79">
        <f t="shared" si="15"/>
        <v>22532875.224769212</v>
      </c>
      <c r="N55" s="79">
        <f t="shared" si="15"/>
        <v>31418579.153330922</v>
      </c>
      <c r="O55" s="79">
        <f t="shared" si="15"/>
        <v>43467506.786975712</v>
      </c>
      <c r="P55" s="79">
        <f t="shared" si="15"/>
        <v>60036435.025566399</v>
      </c>
      <c r="Q55" s="79">
        <f t="shared" si="15"/>
        <v>83198952.080725431</v>
      </c>
      <c r="R55" s="79">
        <f t="shared" si="15"/>
        <v>116195985.33111638</v>
      </c>
      <c r="S55" s="79">
        <f t="shared" si="15"/>
        <v>164093253.4612838</v>
      </c>
      <c r="T55" s="79">
        <f t="shared" si="15"/>
        <v>235358864.98892784</v>
      </c>
      <c r="U55" s="79">
        <f t="shared" si="15"/>
        <v>344157379.09218943</v>
      </c>
      <c r="V55" s="79">
        <f t="shared" si="15"/>
        <v>514741284.0880574</v>
      </c>
      <c r="W55" s="79">
        <f t="shared" si="15"/>
        <v>789634575.94407845</v>
      </c>
      <c r="X55" s="79">
        <f t="shared" si="15"/>
        <v>1064549996.9532421</v>
      </c>
      <c r="Y55" s="79">
        <f t="shared" si="15"/>
        <v>1339488284.017185</v>
      </c>
      <c r="Z55" s="79">
        <f t="shared" si="15"/>
        <v>1614450198.4814584</v>
      </c>
      <c r="AA55" s="79">
        <f t="shared" si="15"/>
        <v>1889436526.9436252</v>
      </c>
    </row>
    <row r="56" spans="2:27" s="26" customFormat="1" x14ac:dyDescent="0.25">
      <c r="B56" s="384" t="s">
        <v>246</v>
      </c>
      <c r="C56" s="385"/>
      <c r="D56" s="385"/>
      <c r="E56" s="385"/>
      <c r="F56" s="386"/>
      <c r="G56" s="100">
        <f>SUM(G51:G55)</f>
        <v>38762059.133733064</v>
      </c>
      <c r="H56" s="100">
        <f>SUM(H54:H55)+H52</f>
        <v>38292673.259705216</v>
      </c>
      <c r="I56" s="100">
        <f t="shared" ref="I56:AA56" si="16">SUM(I54:I55)+I52</f>
        <v>38262715.389214955</v>
      </c>
      <c r="J56" s="100">
        <f t="shared" si="16"/>
        <v>38864411.476282611</v>
      </c>
      <c r="K56" s="100">
        <f t="shared" si="16"/>
        <v>40339391.500083268</v>
      </c>
      <c r="L56" s="100">
        <f t="shared" si="16"/>
        <v>43007048.389729299</v>
      </c>
      <c r="M56" s="100">
        <f t="shared" si="16"/>
        <v>47306477.367878996</v>
      </c>
      <c r="N56" s="100">
        <f t="shared" si="16"/>
        <v>53860771.798003502</v>
      </c>
      <c r="O56" s="100">
        <f t="shared" si="16"/>
        <v>63578289.933211081</v>
      </c>
      <c r="P56" s="100">
        <f t="shared" si="16"/>
        <v>77815808.67336455</v>
      </c>
      <c r="Q56" s="100">
        <f t="shared" si="16"/>
        <v>98646916.230086386</v>
      </c>
      <c r="R56" s="100">
        <f t="shared" si="16"/>
        <v>131643949.48047733</v>
      </c>
      <c r="S56" s="100">
        <f t="shared" si="16"/>
        <v>179541217.61064476</v>
      </c>
      <c r="T56" s="100">
        <f t="shared" si="16"/>
        <v>250806829.1382888</v>
      </c>
      <c r="U56" s="100">
        <f t="shared" si="16"/>
        <v>359605343.24155039</v>
      </c>
      <c r="V56" s="100">
        <f t="shared" si="16"/>
        <v>530189248.23741835</v>
      </c>
      <c r="W56" s="100">
        <f t="shared" si="16"/>
        <v>805082540.09343946</v>
      </c>
      <c r="X56" s="100">
        <f t="shared" si="16"/>
        <v>1079997961.102603</v>
      </c>
      <c r="Y56" s="100">
        <f t="shared" si="16"/>
        <v>1354936248.1665459</v>
      </c>
      <c r="Z56" s="100">
        <f t="shared" si="16"/>
        <v>1629898162.6308193</v>
      </c>
      <c r="AA56" s="100">
        <f t="shared" si="16"/>
        <v>1904884491.0929861</v>
      </c>
    </row>
    <row r="58" spans="2:27" x14ac:dyDescent="0.25">
      <c r="G58" s="15">
        <f>G49-G56</f>
        <v>0</v>
      </c>
      <c r="H58" s="15">
        <f>H49-H56</f>
        <v>0</v>
      </c>
      <c r="I58" s="15">
        <f>I49-I56</f>
        <v>0</v>
      </c>
      <c r="J58" s="15">
        <f t="shared" ref="J58:AA58" si="17">J49-J56</f>
        <v>0</v>
      </c>
      <c r="K58" s="15">
        <f t="shared" si="17"/>
        <v>0</v>
      </c>
      <c r="L58" s="15">
        <f t="shared" si="17"/>
        <v>0</v>
      </c>
      <c r="M58" s="15">
        <f t="shared" si="17"/>
        <v>0</v>
      </c>
      <c r="N58" s="15">
        <f t="shared" si="17"/>
        <v>0</v>
      </c>
      <c r="O58" s="15">
        <f t="shared" si="17"/>
        <v>0</v>
      </c>
      <c r="P58" s="15">
        <f t="shared" si="17"/>
        <v>0</v>
      </c>
      <c r="Q58" s="15">
        <f t="shared" si="17"/>
        <v>0</v>
      </c>
      <c r="R58" s="15">
        <f t="shared" si="17"/>
        <v>0</v>
      </c>
      <c r="S58" s="15">
        <f t="shared" si="17"/>
        <v>0</v>
      </c>
      <c r="T58" s="15">
        <f t="shared" si="17"/>
        <v>0</v>
      </c>
      <c r="U58" s="15">
        <f t="shared" si="17"/>
        <v>0</v>
      </c>
      <c r="V58" s="15">
        <f t="shared" si="17"/>
        <v>0</v>
      </c>
      <c r="W58" s="15">
        <f t="shared" si="17"/>
        <v>0</v>
      </c>
      <c r="X58" s="15">
        <f t="shared" si="17"/>
        <v>0</v>
      </c>
      <c r="Y58" s="15">
        <f t="shared" si="17"/>
        <v>0</v>
      </c>
      <c r="Z58" s="15">
        <f t="shared" si="17"/>
        <v>0</v>
      </c>
      <c r="AA58" s="15">
        <f t="shared" si="17"/>
        <v>6685959.8499865532</v>
      </c>
    </row>
    <row r="59" spans="2:27" x14ac:dyDescent="0.25">
      <c r="G59" s="15"/>
      <c r="H59" s="15"/>
      <c r="I59" s="15"/>
      <c r="J59" s="15"/>
      <c r="K59" s="15"/>
      <c r="L59" s="15"/>
      <c r="M59" s="15"/>
      <c r="N59" s="15"/>
      <c r="O59" s="15"/>
      <c r="P59" s="15"/>
      <c r="Q59" s="15"/>
      <c r="R59" s="15"/>
      <c r="S59" s="15"/>
      <c r="T59" s="15"/>
      <c r="U59" s="15"/>
      <c r="V59" s="15"/>
      <c r="W59" s="15"/>
      <c r="X59" s="15"/>
      <c r="Y59" s="15"/>
      <c r="Z59" s="15"/>
      <c r="AA59" s="15"/>
    </row>
    <row r="60" spans="2:27" x14ac:dyDescent="0.25">
      <c r="B60" s="383" t="s">
        <v>255</v>
      </c>
      <c r="C60" s="383"/>
      <c r="D60" s="383"/>
      <c r="E60" s="383"/>
      <c r="G60" s="15"/>
      <c r="H60" s="15"/>
      <c r="I60" s="15"/>
      <c r="J60" s="15"/>
      <c r="K60" s="15"/>
      <c r="L60" s="15"/>
      <c r="M60" s="15"/>
      <c r="N60" s="15"/>
      <c r="O60" s="15"/>
      <c r="P60" s="15"/>
      <c r="Q60" s="15"/>
      <c r="R60" s="15"/>
      <c r="S60" s="15"/>
      <c r="T60" s="15"/>
      <c r="U60" s="15"/>
      <c r="V60" s="15"/>
      <c r="W60" s="15"/>
      <c r="X60" s="15"/>
      <c r="Y60" s="15"/>
      <c r="Z60" s="15"/>
      <c r="AA60" s="15"/>
    </row>
    <row r="61" spans="2:27" ht="18.75" customHeight="1" x14ac:dyDescent="0.25">
      <c r="B61" s="383"/>
      <c r="C61" s="383"/>
      <c r="D61" s="383"/>
      <c r="E61" s="383"/>
    </row>
    <row r="62" spans="2:27" ht="18.75" customHeight="1" x14ac:dyDescent="0.25">
      <c r="B62" s="164"/>
      <c r="C62" s="164"/>
      <c r="D62" s="164"/>
      <c r="E62" s="164"/>
      <c r="G62" s="87">
        <v>0</v>
      </c>
      <c r="H62" s="8">
        <v>1</v>
      </c>
      <c r="I62" s="87">
        <v>2</v>
      </c>
      <c r="J62" s="8">
        <v>3</v>
      </c>
      <c r="K62" s="87">
        <v>4</v>
      </c>
      <c r="L62" s="8">
        <v>5</v>
      </c>
      <c r="M62" s="87">
        <v>6</v>
      </c>
      <c r="N62" s="8">
        <v>7</v>
      </c>
      <c r="O62" s="87">
        <v>8</v>
      </c>
      <c r="P62" s="8">
        <v>9</v>
      </c>
      <c r="Q62" s="87">
        <v>10</v>
      </c>
      <c r="R62" s="8">
        <v>11</v>
      </c>
      <c r="S62" s="87">
        <v>12</v>
      </c>
      <c r="T62" s="8">
        <v>13</v>
      </c>
      <c r="U62" s="87">
        <v>14</v>
      </c>
      <c r="V62" s="8">
        <v>15</v>
      </c>
      <c r="W62" s="87">
        <v>16</v>
      </c>
      <c r="X62" s="8">
        <v>17</v>
      </c>
      <c r="Y62" s="87">
        <v>18</v>
      </c>
      <c r="Z62" s="8">
        <v>19</v>
      </c>
      <c r="AA62" s="87">
        <v>20</v>
      </c>
    </row>
    <row r="63" spans="2:27" x14ac:dyDescent="0.25">
      <c r="B63" s="15"/>
      <c r="G63" s="92" t="s">
        <v>279</v>
      </c>
      <c r="H63" s="92" t="s">
        <v>20</v>
      </c>
      <c r="I63" s="92" t="s">
        <v>22</v>
      </c>
      <c r="J63" s="92" t="s">
        <v>23</v>
      </c>
      <c r="K63" s="92" t="s">
        <v>24</v>
      </c>
      <c r="L63" s="92" t="s">
        <v>25</v>
      </c>
      <c r="M63" s="92" t="s">
        <v>26</v>
      </c>
      <c r="N63" s="92" t="s">
        <v>27</v>
      </c>
      <c r="O63" s="92" t="s">
        <v>28</v>
      </c>
      <c r="P63" s="92" t="s">
        <v>29</v>
      </c>
      <c r="Q63" s="92" t="s">
        <v>30</v>
      </c>
      <c r="R63" s="92" t="s">
        <v>31</v>
      </c>
      <c r="S63" s="92" t="s">
        <v>32</v>
      </c>
      <c r="T63" s="92" t="s">
        <v>33</v>
      </c>
      <c r="U63" s="92" t="s">
        <v>34</v>
      </c>
      <c r="V63" s="92" t="s">
        <v>35</v>
      </c>
      <c r="W63" s="92" t="s">
        <v>36</v>
      </c>
      <c r="X63" s="92" t="s">
        <v>37</v>
      </c>
      <c r="Y63" s="92" t="s">
        <v>38</v>
      </c>
      <c r="Z63" s="92" t="s">
        <v>39</v>
      </c>
      <c r="AA63" s="92" t="s">
        <v>40</v>
      </c>
    </row>
    <row r="64" spans="2:27" x14ac:dyDescent="0.25">
      <c r="B64" s="390" t="s">
        <v>254</v>
      </c>
      <c r="C64" s="390"/>
      <c r="D64" s="390"/>
      <c r="E64" s="390"/>
      <c r="F64" s="390"/>
      <c r="G64" s="5"/>
      <c r="H64" s="103">
        <f t="shared" ref="H64:AA64" si="18">H24/H49</f>
        <v>4.8626106926014205E-2</v>
      </c>
      <c r="I64" s="103">
        <f t="shared" si="18"/>
        <v>6.0148674879349974E-2</v>
      </c>
      <c r="J64" s="103">
        <f t="shared" si="18"/>
        <v>7.5470217458324815E-2</v>
      </c>
      <c r="K64" s="103">
        <f t="shared" si="18"/>
        <v>9.4359120965669493E-2</v>
      </c>
      <c r="L64" s="103">
        <f t="shared" si="18"/>
        <v>0.11623830453979912</v>
      </c>
      <c r="M64" s="103">
        <f t="shared" si="18"/>
        <v>0.14016766509630718</v>
      </c>
      <c r="N64" s="103">
        <f t="shared" si="18"/>
        <v>0.16497542890558942</v>
      </c>
      <c r="O64" s="103">
        <f t="shared" si="18"/>
        <v>0.18951323865901654</v>
      </c>
      <c r="P64" s="103">
        <f t="shared" si="18"/>
        <v>0.21292496371964104</v>
      </c>
      <c r="Q64" s="103">
        <f t="shared" si="18"/>
        <v>0.23480224157371757</v>
      </c>
      <c r="R64" s="103">
        <f t="shared" si="18"/>
        <v>0.25065362578843298</v>
      </c>
      <c r="S64" s="103">
        <f t="shared" si="18"/>
        <v>0.26677589005794761</v>
      </c>
      <c r="T64" s="103">
        <f t="shared" si="18"/>
        <v>0.28414541889666767</v>
      </c>
      <c r="U64" s="103">
        <f t="shared" si="18"/>
        <v>0.30254977059720883</v>
      </c>
      <c r="V64" s="103">
        <f t="shared" si="18"/>
        <v>0.32174153957848767</v>
      </c>
      <c r="W64" s="103">
        <f t="shared" si="18"/>
        <v>0.3414473400753622</v>
      </c>
      <c r="X64" s="103">
        <f t="shared" si="18"/>
        <v>0.254551796309406</v>
      </c>
      <c r="Y64" s="103">
        <f t="shared" si="18"/>
        <v>0.20291603198008767</v>
      </c>
      <c r="Z64" s="103">
        <f t="shared" si="18"/>
        <v>0.16869883086465801</v>
      </c>
      <c r="AA64" s="103">
        <f t="shared" si="18"/>
        <v>0.14385361958619769</v>
      </c>
    </row>
    <row r="65" spans="2:27" x14ac:dyDescent="0.25">
      <c r="B65" s="390" t="s">
        <v>253</v>
      </c>
      <c r="C65" s="390"/>
      <c r="D65" s="390"/>
      <c r="E65" s="390"/>
      <c r="F65" s="390"/>
      <c r="G65" s="5"/>
      <c r="H65" s="103">
        <f t="shared" ref="H65:AA65" si="19">H24/H53</f>
        <v>0.10756932059945529</v>
      </c>
      <c r="I65" s="103">
        <f t="shared" si="19"/>
        <v>0.11735250946166979</v>
      </c>
      <c r="J65" s="103">
        <f t="shared" si="19"/>
        <v>0.13010267393585881</v>
      </c>
      <c r="K65" s="103">
        <f t="shared" si="19"/>
        <v>0.14444988737956752</v>
      </c>
      <c r="L65" s="103">
        <f t="shared" si="19"/>
        <v>0.15945984832411875</v>
      </c>
      <c r="M65" s="103">
        <f t="shared" si="19"/>
        <v>0.17458377923852195</v>
      </c>
      <c r="N65" s="103">
        <f t="shared" si="19"/>
        <v>0.18959588871687361</v>
      </c>
      <c r="O65" s="103">
        <f t="shared" si="19"/>
        <v>0.20451211612421313</v>
      </c>
      <c r="P65" s="103">
        <f t="shared" si="19"/>
        <v>0.21950135948216123</v>
      </c>
      <c r="Q65" s="103">
        <f t="shared" si="19"/>
        <v>0.23480224157371765</v>
      </c>
      <c r="R65" s="103">
        <f t="shared" si="19"/>
        <v>0.25065362578843303</v>
      </c>
      <c r="S65" s="103">
        <f t="shared" si="19"/>
        <v>0.26677589005794761</v>
      </c>
      <c r="T65" s="103">
        <f t="shared" si="19"/>
        <v>0.28414541889666772</v>
      </c>
      <c r="U65" s="103">
        <f t="shared" si="19"/>
        <v>0.30254977059720883</v>
      </c>
      <c r="V65" s="103">
        <f t="shared" si="19"/>
        <v>0.32174153957848767</v>
      </c>
      <c r="W65" s="103">
        <f t="shared" si="19"/>
        <v>0.34144734007536215</v>
      </c>
      <c r="X65" s="103">
        <f t="shared" si="19"/>
        <v>0.254551796309406</v>
      </c>
      <c r="Y65" s="103">
        <f t="shared" si="19"/>
        <v>0.20291603198008767</v>
      </c>
      <c r="Z65" s="103">
        <f t="shared" si="19"/>
        <v>0.16869883086465801</v>
      </c>
      <c r="AA65" s="103">
        <f t="shared" si="19"/>
        <v>0.14435853184167871</v>
      </c>
    </row>
    <row r="66" spans="2:27" x14ac:dyDescent="0.25">
      <c r="B66" s="165"/>
      <c r="C66" s="165"/>
      <c r="D66" s="165"/>
      <c r="E66" s="165"/>
      <c r="F66" s="165"/>
      <c r="G66" s="25"/>
      <c r="H66" s="166"/>
      <c r="I66" s="166"/>
      <c r="J66" s="166"/>
      <c r="K66" s="166"/>
      <c r="L66" s="166"/>
      <c r="M66" s="166"/>
      <c r="N66" s="166"/>
      <c r="O66" s="166"/>
      <c r="P66" s="166"/>
      <c r="Q66" s="166"/>
      <c r="R66" s="166"/>
      <c r="S66" s="166"/>
      <c r="T66" s="166"/>
      <c r="U66" s="166"/>
      <c r="V66" s="166"/>
      <c r="W66" s="166"/>
      <c r="X66" s="166"/>
      <c r="Y66" s="166"/>
      <c r="Z66" s="166"/>
      <c r="AA66" s="166"/>
    </row>
    <row r="67" spans="2:27" x14ac:dyDescent="0.25">
      <c r="B67" s="165"/>
      <c r="C67" s="165"/>
      <c r="D67" s="165"/>
      <c r="E67" s="165"/>
      <c r="F67" s="165"/>
      <c r="G67" s="25"/>
      <c r="H67" s="166"/>
      <c r="I67" s="166"/>
      <c r="J67" s="166"/>
      <c r="K67" s="166"/>
      <c r="L67" s="166"/>
      <c r="M67" s="166"/>
      <c r="N67" s="166"/>
      <c r="O67" s="166"/>
      <c r="P67" s="166"/>
      <c r="Q67" s="166"/>
      <c r="R67" s="166"/>
      <c r="S67" s="166"/>
      <c r="T67" s="166"/>
      <c r="U67" s="166"/>
      <c r="V67" s="166"/>
      <c r="W67" s="166"/>
      <c r="X67" s="166"/>
      <c r="Y67" s="166"/>
      <c r="Z67" s="166"/>
      <c r="AA67" s="166"/>
    </row>
    <row r="68" spans="2:27" x14ac:dyDescent="0.25">
      <c r="B68" s="165"/>
      <c r="C68" s="165"/>
      <c r="D68" s="165"/>
      <c r="E68" s="165"/>
      <c r="F68" s="165"/>
      <c r="G68" s="25"/>
      <c r="H68" s="166"/>
      <c r="I68" s="166"/>
      <c r="J68" s="166"/>
      <c r="K68" s="166"/>
      <c r="L68" s="166"/>
      <c r="M68" s="166"/>
      <c r="N68" s="166"/>
      <c r="O68" s="166"/>
      <c r="P68" s="166"/>
      <c r="Q68" s="166"/>
      <c r="R68" s="166"/>
      <c r="S68" s="166"/>
      <c r="T68" s="166"/>
      <c r="U68" s="166"/>
      <c r="V68" s="166"/>
      <c r="W68" s="166"/>
      <c r="X68" s="166"/>
      <c r="Y68" s="166"/>
      <c r="Z68" s="166"/>
      <c r="AA68" s="166"/>
    </row>
    <row r="69" spans="2:27" x14ac:dyDescent="0.25">
      <c r="G69" s="87">
        <v>0</v>
      </c>
      <c r="H69" s="8">
        <v>1</v>
      </c>
      <c r="I69" s="87">
        <v>2</v>
      </c>
      <c r="J69" s="8">
        <v>3</v>
      </c>
      <c r="K69" s="87">
        <v>4</v>
      </c>
      <c r="L69" s="8">
        <v>5</v>
      </c>
      <c r="M69" s="87">
        <v>6</v>
      </c>
      <c r="N69" s="8">
        <v>7</v>
      </c>
      <c r="O69" s="87">
        <v>8</v>
      </c>
      <c r="P69" s="8">
        <v>9</v>
      </c>
      <c r="Q69" s="87">
        <v>10</v>
      </c>
      <c r="R69" s="8">
        <v>11</v>
      </c>
      <c r="S69" s="87">
        <v>12</v>
      </c>
      <c r="T69" s="8">
        <v>13</v>
      </c>
      <c r="U69" s="87">
        <v>14</v>
      </c>
      <c r="V69" s="8">
        <v>15</v>
      </c>
      <c r="W69" s="87">
        <v>16</v>
      </c>
      <c r="X69" s="8">
        <v>17</v>
      </c>
      <c r="Y69" s="87">
        <v>18</v>
      </c>
      <c r="Z69" s="8">
        <v>19</v>
      </c>
      <c r="AA69" s="87">
        <v>20</v>
      </c>
    </row>
    <row r="70" spans="2:27" x14ac:dyDescent="0.25">
      <c r="B70" s="390" t="s">
        <v>249</v>
      </c>
      <c r="C70" s="390"/>
      <c r="D70" s="390"/>
      <c r="E70" s="390"/>
      <c r="F70" s="390"/>
      <c r="G70" s="92" t="s">
        <v>279</v>
      </c>
      <c r="H70" s="92" t="s">
        <v>20</v>
      </c>
      <c r="I70" s="92" t="s">
        <v>21</v>
      </c>
      <c r="J70" s="92" t="s">
        <v>22</v>
      </c>
      <c r="K70" s="92" t="s">
        <v>23</v>
      </c>
      <c r="L70" s="92" t="s">
        <v>24</v>
      </c>
      <c r="M70" s="92" t="s">
        <v>25</v>
      </c>
      <c r="N70" s="92" t="s">
        <v>26</v>
      </c>
      <c r="O70" s="92" t="s">
        <v>27</v>
      </c>
      <c r="P70" s="92" t="s">
        <v>28</v>
      </c>
      <c r="Q70" s="92" t="s">
        <v>29</v>
      </c>
      <c r="R70" s="92" t="s">
        <v>30</v>
      </c>
      <c r="S70" s="92" t="s">
        <v>31</v>
      </c>
      <c r="T70" s="92" t="s">
        <v>32</v>
      </c>
      <c r="U70" s="92" t="s">
        <v>33</v>
      </c>
      <c r="V70" s="92" t="s">
        <v>34</v>
      </c>
      <c r="W70" s="92" t="s">
        <v>35</v>
      </c>
      <c r="X70" s="92" t="s">
        <v>36</v>
      </c>
      <c r="Y70" s="92" t="s">
        <v>37</v>
      </c>
      <c r="Z70" s="92" t="s">
        <v>38</v>
      </c>
      <c r="AA70" s="92" t="s">
        <v>39</v>
      </c>
    </row>
    <row r="71" spans="2:27" x14ac:dyDescent="0.25">
      <c r="B71" s="403" t="s">
        <v>107</v>
      </c>
      <c r="C71" s="403"/>
      <c r="D71" s="403"/>
      <c r="E71" s="403"/>
      <c r="F71" s="403"/>
      <c r="G71" s="79">
        <f>G6</f>
        <v>0</v>
      </c>
      <c r="H71" s="79">
        <f t="shared" ref="H71:Z71" si="20">H6</f>
        <v>8327021.1682000002</v>
      </c>
      <c r="I71" s="79">
        <f t="shared" si="20"/>
        <v>8804766.4776774589</v>
      </c>
      <c r="J71" s="79">
        <f t="shared" si="20"/>
        <v>9557515.9834061004</v>
      </c>
      <c r="K71" s="79">
        <f t="shared" si="20"/>
        <v>10655858.734893871</v>
      </c>
      <c r="L71" s="79">
        <f t="shared" si="20"/>
        <v>12210896.887459265</v>
      </c>
      <c r="M71" s="79">
        <f t="shared" si="20"/>
        <v>14393646.311238242</v>
      </c>
      <c r="N71" s="79">
        <f t="shared" si="20"/>
        <v>17466974.464557342</v>
      </c>
      <c r="O71" s="79">
        <f t="shared" si="20"/>
        <v>21838415.978921354</v>
      </c>
      <c r="P71" s="79">
        <f t="shared" si="20"/>
        <v>28148582.682534892</v>
      </c>
      <c r="Q71" s="79">
        <f t="shared" si="20"/>
        <v>37421504.909309372</v>
      </c>
      <c r="R71" s="79">
        <f t="shared" si="20"/>
        <v>51324824.640214555</v>
      </c>
      <c r="S71" s="79">
        <f t="shared" si="20"/>
        <v>72628600.300295055</v>
      </c>
      <c r="T71" s="79">
        <f t="shared" si="20"/>
        <v>106030205.61775921</v>
      </c>
      <c r="U71" s="79">
        <f t="shared" si="20"/>
        <v>159667443.20362821</v>
      </c>
      <c r="V71" s="79">
        <f t="shared" si="20"/>
        <v>247951656.83095938</v>
      </c>
      <c r="W71" s="79">
        <f t="shared" si="20"/>
        <v>396985017.21106541</v>
      </c>
      <c r="X71" s="79">
        <f t="shared" si="20"/>
        <v>397037179.38426745</v>
      </c>
      <c r="Y71" s="79">
        <f t="shared" si="20"/>
        <v>397091010.7470119</v>
      </c>
      <c r="Z71" s="79">
        <f t="shared" si="20"/>
        <v>397146564.71336424</v>
      </c>
      <c r="AA71" s="79">
        <f>AA6</f>
        <v>397203896.40663981</v>
      </c>
    </row>
    <row r="72" spans="2:27" x14ac:dyDescent="0.25">
      <c r="B72" s="403" t="s">
        <v>250</v>
      </c>
      <c r="C72" s="403"/>
      <c r="D72" s="403"/>
      <c r="E72" s="403"/>
      <c r="F72" s="403"/>
      <c r="G72" s="79">
        <f>G6-G9</f>
        <v>0</v>
      </c>
      <c r="H72" s="79">
        <f t="shared" ref="H72:AA72" si="21">H71-H9</f>
        <v>6399356.0123873278</v>
      </c>
      <c r="I72" s="79">
        <f t="shared" si="21"/>
        <v>6863911.6382647865</v>
      </c>
      <c r="J72" s="79">
        <f t="shared" si="21"/>
        <v>7603075.7698854282</v>
      </c>
      <c r="K72" s="79">
        <f t="shared" si="21"/>
        <v>8687425.586041959</v>
      </c>
      <c r="L72" s="79">
        <f t="shared" si="21"/>
        <v>10228051.015216175</v>
      </c>
      <c r="M72" s="79">
        <f t="shared" si="21"/>
        <v>12395955.33390224</v>
      </c>
      <c r="N72" s="79">
        <f t="shared" si="21"/>
        <v>15453993.028975639</v>
      </c>
      <c r="O72" s="79">
        <f t="shared" si="21"/>
        <v>19809685.371346582</v>
      </c>
      <c r="P72" s="79">
        <f t="shared" si="21"/>
        <v>26103630.427807257</v>
      </c>
      <c r="Q72" s="79">
        <f t="shared" si="21"/>
        <v>35359844.358014286</v>
      </c>
      <c r="R72" s="79">
        <f t="shared" si="21"/>
        <v>49245954.543454997</v>
      </c>
      <c r="S72" s="79">
        <f t="shared" si="21"/>
        <v>70532004.371707097</v>
      </c>
      <c r="T72" s="79">
        <f t="shared" si="21"/>
        <v>103915352.08238798</v>
      </c>
      <c r="U72" s="79">
        <f t="shared" si="21"/>
        <v>157533784.33327022</v>
      </c>
      <c r="V72" s="79">
        <f t="shared" si="21"/>
        <v>245798628.46556506</v>
      </c>
      <c r="W72" s="79">
        <f t="shared" si="21"/>
        <v>394812038.26578361</v>
      </c>
      <c r="X72" s="79">
        <f t="shared" si="21"/>
        <v>394843651.34170157</v>
      </c>
      <c r="Y72" s="79">
        <f t="shared" si="21"/>
        <v>394876317.13424343</v>
      </c>
      <c r="Z72" s="79">
        <f t="shared" si="21"/>
        <v>394910070.56328714</v>
      </c>
      <c r="AA72" s="79">
        <f t="shared" si="21"/>
        <v>394944947.70313478</v>
      </c>
    </row>
    <row r="73" spans="2:27" x14ac:dyDescent="0.25">
      <c r="B73" s="403" t="s">
        <v>251</v>
      </c>
      <c r="C73" s="403"/>
      <c r="D73" s="403"/>
      <c r="E73" s="403"/>
      <c r="F73" s="403"/>
      <c r="G73" s="79">
        <f>G30+G24</f>
        <v>-15542729.989581373</v>
      </c>
      <c r="H73" s="79">
        <f t="shared" ref="H73:AA73" si="22">H30+H24</f>
        <v>2768231.5575440289</v>
      </c>
      <c r="I73" s="79">
        <f t="shared" si="22"/>
        <v>3647087.5646193163</v>
      </c>
      <c r="J73" s="79">
        <f t="shared" si="22"/>
        <v>4910395.4797350615</v>
      </c>
      <c r="K73" s="79">
        <f t="shared" si="22"/>
        <v>6656963.3532010503</v>
      </c>
      <c r="L73" s="79">
        <f t="shared" si="22"/>
        <v>9042317.0848917998</v>
      </c>
      <c r="M73" s="79">
        <f t="shared" si="22"/>
        <v>12305861.261899136</v>
      </c>
      <c r="N73" s="79">
        <f t="shared" si="22"/>
        <v>16815592.165848743</v>
      </c>
      <c r="O73" s="79">
        <f t="shared" si="22"/>
        <v>23142039.576014906</v>
      </c>
      <c r="P73" s="79">
        <f t="shared" si="22"/>
        <v>32182040.785906695</v>
      </c>
      <c r="Q73" s="79">
        <f t="shared" si="22"/>
        <v>45369218.419043392</v>
      </c>
      <c r="R73" s="79">
        <f t="shared" si="22"/>
        <v>67369660.307944432</v>
      </c>
      <c r="S73" s="79">
        <f t="shared" si="22"/>
        <v>97170130.067497358</v>
      </c>
      <c r="T73" s="79">
        <f t="shared" si="22"/>
        <v>143906816.8624506</v>
      </c>
      <c r="U73" s="79">
        <f t="shared" si="22"/>
        <v>218972622.01368576</v>
      </c>
      <c r="V73" s="79">
        <f t="shared" si="22"/>
        <v>342543403.79889846</v>
      </c>
      <c r="W73" s="79">
        <f t="shared" si="22"/>
        <v>551162177.5192045</v>
      </c>
      <c r="X73" s="79">
        <f t="shared" si="22"/>
        <v>551206435.82548964</v>
      </c>
      <c r="Y73" s="79">
        <f t="shared" si="22"/>
        <v>551252167.93504822</v>
      </c>
      <c r="Z73" s="79">
        <f t="shared" si="22"/>
        <v>551299422.73570943</v>
      </c>
      <c r="AA73" s="79">
        <f t="shared" si="22"/>
        <v>558034210.58148265</v>
      </c>
    </row>
    <row r="74" spans="2:27" x14ac:dyDescent="0.25">
      <c r="B74" s="403" t="s">
        <v>252</v>
      </c>
      <c r="C74" s="403"/>
      <c r="D74" s="403"/>
      <c r="E74" s="403"/>
      <c r="F74" s="403"/>
      <c r="G74" s="5">
        <f>G24</f>
        <v>0</v>
      </c>
      <c r="H74" s="5">
        <f t="shared" ref="H74:AA74" si="23">H24</f>
        <v>1862023.6244093501</v>
      </c>
      <c r="I74" s="5">
        <f t="shared" si="23"/>
        <v>2301451.6279469938</v>
      </c>
      <c r="J74" s="5">
        <f t="shared" si="23"/>
        <v>2933105.5855048667</v>
      </c>
      <c r="K74" s="5">
        <f t="shared" si="23"/>
        <v>3806389.5222378611</v>
      </c>
      <c r="L74" s="5">
        <f t="shared" si="23"/>
        <v>4999066.3880832363</v>
      </c>
      <c r="M74" s="5">
        <f t="shared" si="23"/>
        <v>6630838.4765869044</v>
      </c>
      <c r="N74" s="5">
        <f t="shared" si="23"/>
        <v>8885703.928561708</v>
      </c>
      <c r="O74" s="5">
        <f t="shared" si="23"/>
        <v>12048927.633644789</v>
      </c>
      <c r="P74" s="5">
        <f t="shared" si="23"/>
        <v>16568928.238590684</v>
      </c>
      <c r="Q74" s="5">
        <f t="shared" si="23"/>
        <v>23162517.055159032</v>
      </c>
      <c r="R74" s="5">
        <f t="shared" si="23"/>
        <v>32997033.250390951</v>
      </c>
      <c r="S74" s="5">
        <f t="shared" si="23"/>
        <v>47897268.13016741</v>
      </c>
      <c r="T74" s="5">
        <f t="shared" si="23"/>
        <v>71265611.527644038</v>
      </c>
      <c r="U74" s="5">
        <f t="shared" si="23"/>
        <v>108798514.10326162</v>
      </c>
      <c r="V74" s="5">
        <f t="shared" si="23"/>
        <v>170583904.99586797</v>
      </c>
      <c r="W74" s="5">
        <f t="shared" si="23"/>
        <v>274893291.85602099</v>
      </c>
      <c r="X74" s="5">
        <f t="shared" si="23"/>
        <v>274915421.00916356</v>
      </c>
      <c r="Y74" s="5">
        <f t="shared" si="23"/>
        <v>274938287.06394285</v>
      </c>
      <c r="Z74" s="5">
        <f t="shared" si="23"/>
        <v>274961914.46427345</v>
      </c>
      <c r="AA74" s="5">
        <f t="shared" si="23"/>
        <v>274986328.46216679</v>
      </c>
    </row>
    <row r="77" spans="2:27" x14ac:dyDescent="0.25">
      <c r="B77" s="407" t="s">
        <v>280</v>
      </c>
      <c r="C77" s="407"/>
      <c r="D77" s="407"/>
      <c r="E77" s="407"/>
      <c r="F77" s="407"/>
      <c r="G77" s="87">
        <v>0</v>
      </c>
      <c r="H77" s="8">
        <v>1</v>
      </c>
      <c r="I77" s="87">
        <v>2</v>
      </c>
      <c r="J77" s="8">
        <v>3</v>
      </c>
      <c r="K77" s="87">
        <v>4</v>
      </c>
      <c r="L77" s="8">
        <v>5</v>
      </c>
      <c r="M77" s="87">
        <v>6</v>
      </c>
      <c r="N77" s="8">
        <v>7</v>
      </c>
      <c r="O77" s="87">
        <v>8</v>
      </c>
      <c r="P77" s="8">
        <v>9</v>
      </c>
      <c r="Q77" s="87">
        <v>10</v>
      </c>
      <c r="R77" s="8">
        <v>11</v>
      </c>
      <c r="S77" s="87">
        <v>12</v>
      </c>
      <c r="T77" s="8">
        <v>13</v>
      </c>
      <c r="U77" s="87">
        <v>14</v>
      </c>
      <c r="V77" s="8">
        <v>15</v>
      </c>
      <c r="W77" s="87">
        <v>16</v>
      </c>
      <c r="X77" s="8">
        <v>17</v>
      </c>
      <c r="Y77" s="87">
        <v>18</v>
      </c>
      <c r="Z77" s="8">
        <v>19</v>
      </c>
      <c r="AA77" s="87">
        <v>20</v>
      </c>
    </row>
    <row r="78" spans="2:27" x14ac:dyDescent="0.25">
      <c r="C78" s="409" t="s">
        <v>249</v>
      </c>
      <c r="D78" s="410"/>
      <c r="E78" s="410"/>
      <c r="F78" s="411"/>
      <c r="G78" s="92" t="s">
        <v>279</v>
      </c>
      <c r="H78" s="92" t="s">
        <v>20</v>
      </c>
      <c r="I78" s="92" t="s">
        <v>21</v>
      </c>
      <c r="J78" s="92" t="s">
        <v>22</v>
      </c>
      <c r="K78" s="92" t="s">
        <v>23</v>
      </c>
      <c r="L78" s="92" t="s">
        <v>24</v>
      </c>
      <c r="M78" s="92" t="s">
        <v>25</v>
      </c>
      <c r="N78" s="92" t="s">
        <v>26</v>
      </c>
      <c r="O78" s="92" t="s">
        <v>27</v>
      </c>
      <c r="P78" s="92" t="s">
        <v>28</v>
      </c>
      <c r="Q78" s="92" t="s">
        <v>29</v>
      </c>
      <c r="R78" s="92" t="s">
        <v>30</v>
      </c>
      <c r="S78" s="92" t="s">
        <v>31</v>
      </c>
      <c r="T78" s="92" t="s">
        <v>32</v>
      </c>
      <c r="U78" s="92" t="s">
        <v>33</v>
      </c>
      <c r="V78" s="92" t="s">
        <v>34</v>
      </c>
      <c r="W78" s="92" t="s">
        <v>35</v>
      </c>
      <c r="X78" s="92" t="s">
        <v>36</v>
      </c>
      <c r="Y78" s="92" t="s">
        <v>37</v>
      </c>
      <c r="Z78" s="92" t="s">
        <v>38</v>
      </c>
      <c r="AA78" s="92" t="s">
        <v>39</v>
      </c>
    </row>
    <row r="79" spans="2:27" x14ac:dyDescent="0.25">
      <c r="C79" s="404" t="s">
        <v>283</v>
      </c>
      <c r="D79" s="405"/>
      <c r="E79" s="405"/>
      <c r="F79" s="406"/>
      <c r="G79" s="5"/>
      <c r="H79" s="51">
        <f>H72/H71</f>
        <v>0.76850483301589068</v>
      </c>
      <c r="I79" s="51">
        <f t="shared" ref="I79:AA79" si="24">I72/I71</f>
        <v>0.77956770979295342</v>
      </c>
      <c r="J79" s="51">
        <f t="shared" si="24"/>
        <v>0.79550751294436761</v>
      </c>
      <c r="K79" s="51">
        <f t="shared" si="24"/>
        <v>0.8152722180516484</v>
      </c>
      <c r="L79" s="51">
        <f t="shared" si="24"/>
        <v>0.83761668855958515</v>
      </c>
      <c r="M79" s="51">
        <f t="shared" si="24"/>
        <v>0.86121022191741303</v>
      </c>
      <c r="N79" s="51">
        <f t="shared" si="24"/>
        <v>0.88475500209459335</v>
      </c>
      <c r="O79" s="51">
        <f t="shared" si="24"/>
        <v>0.90710266671662809</v>
      </c>
      <c r="P79" s="51">
        <f t="shared" si="24"/>
        <v>0.92735150192849858</v>
      </c>
      <c r="Q79" s="51">
        <f t="shared" si="24"/>
        <v>0.94490706463325036</v>
      </c>
      <c r="R79" s="51">
        <f t="shared" si="24"/>
        <v>0.95949581686187191</v>
      </c>
      <c r="S79" s="51">
        <f t="shared" si="24"/>
        <v>0.97113264031085234</v>
      </c>
      <c r="T79" s="51">
        <f t="shared" si="24"/>
        <v>0.98005423527145352</v>
      </c>
      <c r="U79" s="51">
        <f t="shared" si="24"/>
        <v>0.98663685703517601</v>
      </c>
      <c r="V79" s="51">
        <f t="shared" si="24"/>
        <v>0.99131674136437753</v>
      </c>
      <c r="W79" s="51">
        <f t="shared" si="24"/>
        <v>0.99452629481951837</v>
      </c>
      <c r="X79" s="51">
        <f t="shared" si="24"/>
        <v>0.99447525784369195</v>
      </c>
      <c r="Y79" s="51">
        <f t="shared" si="24"/>
        <v>0.99442270524179788</v>
      </c>
      <c r="Z79" s="51">
        <f t="shared" si="24"/>
        <v>0.99436859248249754</v>
      </c>
      <c r="AA79" s="51">
        <f t="shared" si="24"/>
        <v>0.99431287375592003</v>
      </c>
    </row>
    <row r="80" spans="2:27" x14ac:dyDescent="0.25">
      <c r="C80" s="404" t="s">
        <v>282</v>
      </c>
      <c r="D80" s="405"/>
      <c r="E80" s="405"/>
      <c r="F80" s="406"/>
      <c r="G80" s="5"/>
      <c r="H80" s="51">
        <f>H73/H71</f>
        <v>0.33243959654091043</v>
      </c>
      <c r="I80" s="51">
        <f t="shared" ref="I80:AA80" si="25">I73/I71</f>
        <v>0.4142174098388301</v>
      </c>
      <c r="J80" s="51">
        <f t="shared" si="25"/>
        <v>0.51377319046712155</v>
      </c>
      <c r="K80" s="51">
        <f t="shared" si="25"/>
        <v>0.62472331126181646</v>
      </c>
      <c r="L80" s="51">
        <f t="shared" si="25"/>
        <v>0.74051211538591943</v>
      </c>
      <c r="M80" s="51">
        <f t="shared" si="25"/>
        <v>0.85495092736098355</v>
      </c>
      <c r="N80" s="51">
        <f t="shared" si="25"/>
        <v>0.96270777746710889</v>
      </c>
      <c r="O80" s="51">
        <f t="shared" si="25"/>
        <v>1.0596940546581686</v>
      </c>
      <c r="P80" s="51">
        <f t="shared" si="25"/>
        <v>1.14329169425196</v>
      </c>
      <c r="Q80" s="51">
        <f t="shared" si="25"/>
        <v>1.2123835887678815</v>
      </c>
      <c r="R80" s="51">
        <f t="shared" si="25"/>
        <v>1.3126135506590364</v>
      </c>
      <c r="S80" s="51">
        <f t="shared" si="25"/>
        <v>1.3379044848135757</v>
      </c>
      <c r="T80" s="51">
        <f t="shared" si="25"/>
        <v>1.3572247268975148</v>
      </c>
      <c r="U80" s="51">
        <f t="shared" si="25"/>
        <v>1.3714293760840401</v>
      </c>
      <c r="V80" s="51">
        <f t="shared" si="25"/>
        <v>1.3814926997339116</v>
      </c>
      <c r="W80" s="51">
        <f t="shared" si="25"/>
        <v>1.3883702246278165</v>
      </c>
      <c r="X80" s="51">
        <f t="shared" si="25"/>
        <v>1.3882992939862979</v>
      </c>
      <c r="Y80" s="51">
        <f t="shared" si="25"/>
        <v>1.3882262580007205</v>
      </c>
      <c r="Z80" s="51">
        <f t="shared" si="25"/>
        <v>1.388151054846976</v>
      </c>
      <c r="AA80" s="51">
        <f t="shared" si="25"/>
        <v>1.4049061845309589</v>
      </c>
    </row>
    <row r="81" spans="2:27" x14ac:dyDescent="0.25">
      <c r="C81" s="404" t="s">
        <v>281</v>
      </c>
      <c r="D81" s="405"/>
      <c r="E81" s="405"/>
      <c r="F81" s="406"/>
      <c r="G81" s="5"/>
      <c r="H81" s="51">
        <f>H74/H71</f>
        <v>0.223612212194226</v>
      </c>
      <c r="I81" s="51">
        <f t="shared" ref="I81:AA81" si="26">I74/I71</f>
        <v>0.26138701506528494</v>
      </c>
      <c r="J81" s="51">
        <f t="shared" si="26"/>
        <v>0.30688994824569144</v>
      </c>
      <c r="K81" s="51">
        <f t="shared" si="26"/>
        <v>0.3572109594296129</v>
      </c>
      <c r="L81" s="51">
        <f t="shared" si="26"/>
        <v>0.40939387451689452</v>
      </c>
      <c r="M81" s="51">
        <f t="shared" si="26"/>
        <v>0.46067815848786636</v>
      </c>
      <c r="N81" s="51">
        <f t="shared" si="26"/>
        <v>0.50871454278426431</v>
      </c>
      <c r="O81" s="51">
        <f t="shared" si="26"/>
        <v>0.55173084189231159</v>
      </c>
      <c r="P81" s="51">
        <f t="shared" si="26"/>
        <v>0.58862389007141958</v>
      </c>
      <c r="Q81" s="51">
        <f t="shared" si="26"/>
        <v>0.61896273576632344</v>
      </c>
      <c r="R81" s="51">
        <f t="shared" si="26"/>
        <v>0.64290591310733436</v>
      </c>
      <c r="S81" s="51">
        <f t="shared" si="26"/>
        <v>0.65948218652332791</v>
      </c>
      <c r="T81" s="51">
        <f t="shared" si="26"/>
        <v>0.67212556188524086</v>
      </c>
      <c r="U81" s="51">
        <f t="shared" si="26"/>
        <v>0.68140700395952314</v>
      </c>
      <c r="V81" s="51">
        <f t="shared" si="26"/>
        <v>0.68797243453050716</v>
      </c>
      <c r="W81" s="51">
        <f t="shared" si="26"/>
        <v>0.6924525610241562</v>
      </c>
      <c r="X81" s="51">
        <f t="shared" si="26"/>
        <v>0.69241732332349193</v>
      </c>
      <c r="Y81" s="51">
        <f t="shared" si="26"/>
        <v>0.69238104017193935</v>
      </c>
      <c r="Z81" s="51">
        <f t="shared" si="26"/>
        <v>0.69234368088447118</v>
      </c>
      <c r="AA81" s="51">
        <f t="shared" si="26"/>
        <v>0.69230521389610922</v>
      </c>
    </row>
    <row r="83" spans="2:27" x14ac:dyDescent="0.25">
      <c r="B83" s="26"/>
    </row>
    <row r="86" spans="2:27" x14ac:dyDescent="0.25">
      <c r="G86" s="87">
        <v>0</v>
      </c>
      <c r="H86" s="8">
        <v>1</v>
      </c>
      <c r="I86" s="87">
        <v>2</v>
      </c>
      <c r="J86" s="8">
        <v>3</v>
      </c>
      <c r="K86" s="87">
        <v>4</v>
      </c>
      <c r="L86" s="8">
        <v>5</v>
      </c>
      <c r="M86" s="87">
        <v>6</v>
      </c>
      <c r="N86" s="8">
        <v>7</v>
      </c>
      <c r="O86" s="87">
        <v>8</v>
      </c>
      <c r="P86" s="8">
        <v>9</v>
      </c>
      <c r="Q86" s="87">
        <v>10</v>
      </c>
      <c r="R86" s="8">
        <v>11</v>
      </c>
      <c r="S86" s="87">
        <v>12</v>
      </c>
      <c r="T86" s="8">
        <v>13</v>
      </c>
      <c r="U86" s="87">
        <v>14</v>
      </c>
      <c r="V86" s="8">
        <v>15</v>
      </c>
      <c r="W86" s="87">
        <v>16</v>
      </c>
      <c r="X86" s="8">
        <v>17</v>
      </c>
      <c r="Y86" s="87">
        <v>18</v>
      </c>
      <c r="Z86" s="8">
        <v>19</v>
      </c>
      <c r="AA86" s="87">
        <v>20</v>
      </c>
    </row>
    <row r="87" spans="2:27" x14ac:dyDescent="0.25">
      <c r="G87" s="92" t="s">
        <v>279</v>
      </c>
      <c r="H87" s="92" t="s">
        <v>20</v>
      </c>
      <c r="I87" s="92" t="s">
        <v>21</v>
      </c>
      <c r="J87" s="92" t="s">
        <v>22</v>
      </c>
      <c r="K87" s="92" t="s">
        <v>23</v>
      </c>
      <c r="L87" s="92" t="s">
        <v>24</v>
      </c>
      <c r="M87" s="92" t="s">
        <v>25</v>
      </c>
      <c r="N87" s="92" t="s">
        <v>26</v>
      </c>
      <c r="O87" s="92" t="s">
        <v>27</v>
      </c>
      <c r="P87" s="92" t="s">
        <v>28</v>
      </c>
      <c r="Q87" s="92" t="s">
        <v>29</v>
      </c>
      <c r="R87" s="92" t="s">
        <v>30</v>
      </c>
      <c r="S87" s="92" t="s">
        <v>31</v>
      </c>
      <c r="T87" s="92" t="s">
        <v>32</v>
      </c>
      <c r="U87" s="92" t="s">
        <v>33</v>
      </c>
      <c r="V87" s="92" t="s">
        <v>34</v>
      </c>
      <c r="W87" s="92" t="s">
        <v>35</v>
      </c>
      <c r="X87" s="92" t="s">
        <v>36</v>
      </c>
      <c r="Y87" s="92" t="s">
        <v>37</v>
      </c>
      <c r="Z87" s="92" t="s">
        <v>38</v>
      </c>
      <c r="AA87" s="92" t="s">
        <v>39</v>
      </c>
    </row>
    <row r="88" spans="2:27" x14ac:dyDescent="0.25">
      <c r="B88" s="403" t="s">
        <v>284</v>
      </c>
      <c r="C88" s="403"/>
      <c r="D88" s="403"/>
      <c r="E88" s="403"/>
      <c r="F88" s="403"/>
      <c r="G88" s="51"/>
      <c r="H88" s="51">
        <f>H72/(H21)</f>
        <v>3.9212061058691576</v>
      </c>
      <c r="I88" s="51">
        <f t="shared" ref="I88:S88" si="27">I72/(I21)</f>
        <v>4.6731806856833815</v>
      </c>
      <c r="J88" s="51">
        <f t="shared" si="27"/>
        <v>5.8234819008644561</v>
      </c>
      <c r="K88" s="51">
        <f t="shared" si="27"/>
        <v>7.6046014153234873</v>
      </c>
      <c r="L88" s="51">
        <f t="shared" si="27"/>
        <v>10.44539898868276</v>
      </c>
      <c r="M88" s="51">
        <f t="shared" si="27"/>
        <v>15.191246009532634</v>
      </c>
      <c r="N88" s="51">
        <f t="shared" si="27"/>
        <v>23.673589853407787</v>
      </c>
      <c r="O88" s="51">
        <f t="shared" si="27"/>
        <v>40.461289689727643</v>
      </c>
      <c r="P88" s="51">
        <f t="shared" si="27"/>
        <v>79.975012189300372</v>
      </c>
      <c r="Q88" s="51">
        <f t="shared" si="27"/>
        <v>216.66748549515893</v>
      </c>
      <c r="R88" s="51" t="e">
        <f t="shared" si="27"/>
        <v>#DIV/0!</v>
      </c>
      <c r="S88" s="51" t="e">
        <f t="shared" si="27"/>
        <v>#DIV/0!</v>
      </c>
      <c r="T88" s="51"/>
      <c r="U88" s="51"/>
      <c r="V88" s="51"/>
      <c r="W88" s="51"/>
      <c r="X88" s="51"/>
      <c r="Y88" s="51"/>
      <c r="Z88" s="51"/>
      <c r="AA88" s="51"/>
    </row>
    <row r="91" spans="2:27" x14ac:dyDescent="0.25">
      <c r="B91" s="408" t="s">
        <v>256</v>
      </c>
      <c r="C91" s="408"/>
      <c r="D91" s="408"/>
      <c r="E91" s="408"/>
    </row>
    <row r="92" spans="2:27" x14ac:dyDescent="0.25">
      <c r="B92" s="408"/>
      <c r="C92" s="408"/>
      <c r="D92" s="408"/>
      <c r="E92" s="408"/>
      <c r="F92" s="168"/>
    </row>
    <row r="93" spans="2:27" x14ac:dyDescent="0.25">
      <c r="B93" s="408"/>
      <c r="C93" s="408"/>
      <c r="D93" s="408"/>
      <c r="E93" s="408"/>
    </row>
  </sheetData>
  <mergeCells count="62">
    <mergeCell ref="C81:F81"/>
    <mergeCell ref="B77:F77"/>
    <mergeCell ref="B91:E93"/>
    <mergeCell ref="C78:F78"/>
    <mergeCell ref="B74:F74"/>
    <mergeCell ref="C79:F79"/>
    <mergeCell ref="C80:F80"/>
    <mergeCell ref="B88:F88"/>
    <mergeCell ref="B70:F70"/>
    <mergeCell ref="B71:F71"/>
    <mergeCell ref="B72:F72"/>
    <mergeCell ref="B73:F73"/>
    <mergeCell ref="B32:E33"/>
    <mergeCell ref="B65:F65"/>
    <mergeCell ref="B47:F47"/>
    <mergeCell ref="B49:F49"/>
    <mergeCell ref="B50:F50"/>
    <mergeCell ref="B43:F43"/>
    <mergeCell ref="B44:F44"/>
    <mergeCell ref="B46:F46"/>
    <mergeCell ref="B41:F41"/>
    <mergeCell ref="B2:E3"/>
    <mergeCell ref="B60:E61"/>
    <mergeCell ref="B56:F56"/>
    <mergeCell ref="B48:F48"/>
    <mergeCell ref="B64:F64"/>
    <mergeCell ref="B54:F54"/>
    <mergeCell ref="B55:F55"/>
    <mergeCell ref="B38:F38"/>
    <mergeCell ref="B45:F45"/>
    <mergeCell ref="B51:F51"/>
    <mergeCell ref="B53:F53"/>
    <mergeCell ref="B52:F52"/>
    <mergeCell ref="B37:F37"/>
    <mergeCell ref="B39:F39"/>
    <mergeCell ref="B40:F40"/>
    <mergeCell ref="B42:F42"/>
    <mergeCell ref="B28:F28"/>
    <mergeCell ref="B29:F29"/>
    <mergeCell ref="B30:F30"/>
    <mergeCell ref="B23:F23"/>
    <mergeCell ref="B24:F24"/>
    <mergeCell ref="B25:F25"/>
    <mergeCell ref="B26:F26"/>
    <mergeCell ref="B27:F27"/>
    <mergeCell ref="B22:F22"/>
    <mergeCell ref="B11:F11"/>
    <mergeCell ref="B12:F12"/>
    <mergeCell ref="B13:F13"/>
    <mergeCell ref="B14:F14"/>
    <mergeCell ref="B15:F15"/>
    <mergeCell ref="B16:F16"/>
    <mergeCell ref="B17:F17"/>
    <mergeCell ref="B18:F18"/>
    <mergeCell ref="B19:F19"/>
    <mergeCell ref="B20:F20"/>
    <mergeCell ref="B21:F21"/>
    <mergeCell ref="B6:F6"/>
    <mergeCell ref="B7:F7"/>
    <mergeCell ref="B8:F8"/>
    <mergeCell ref="B9:F9"/>
    <mergeCell ref="B10:F1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baseColWidth="10" defaultRowHeight="15" x14ac:dyDescent="0.25"/>
  <cols>
    <col min="1" max="2" width="36.7109375" customWidth="1"/>
  </cols>
  <sheetData>
    <row r="1" spans="1:3" x14ac:dyDescent="0.25">
      <c r="A1" s="201" t="s">
        <v>306</v>
      </c>
    </row>
    <row r="3" spans="1:3" x14ac:dyDescent="0.25">
      <c r="A3" t="s">
        <v>307</v>
      </c>
      <c r="B3" t="s">
        <v>308</v>
      </c>
      <c r="C3">
        <v>0</v>
      </c>
    </row>
    <row r="4" spans="1:3" x14ac:dyDescent="0.25">
      <c r="A4" t="s">
        <v>309</v>
      </c>
    </row>
    <row r="5" spans="1:3" x14ac:dyDescent="0.25">
      <c r="A5" t="s">
        <v>310</v>
      </c>
    </row>
    <row r="7" spans="1:3" x14ac:dyDescent="0.25">
      <c r="A7" s="201" t="s">
        <v>311</v>
      </c>
      <c r="B7" t="s">
        <v>312</v>
      </c>
    </row>
    <row r="8" spans="1:3" x14ac:dyDescent="0.25">
      <c r="B8">
        <v>2</v>
      </c>
    </row>
    <row r="10" spans="1:3" x14ac:dyDescent="0.25">
      <c r="A10" t="s">
        <v>313</v>
      </c>
    </row>
    <row r="11" spans="1:3" x14ac:dyDescent="0.25">
      <c r="A11" t="e">
        <f>CB_DATA_!#REF!</f>
        <v>#REF!</v>
      </c>
      <c r="B11" t="e">
        <f>'CRYSTAL BALL'!#REF!</f>
        <v>#REF!</v>
      </c>
    </row>
    <row r="13" spans="1:3" x14ac:dyDescent="0.25">
      <c r="A13" t="s">
        <v>314</v>
      </c>
    </row>
    <row r="14" spans="1:3" x14ac:dyDescent="0.25">
      <c r="A14" t="s">
        <v>318</v>
      </c>
      <c r="B14" t="s">
        <v>321</v>
      </c>
    </row>
    <row r="16" spans="1:3" x14ac:dyDescent="0.25">
      <c r="A16" t="s">
        <v>315</v>
      </c>
    </row>
    <row r="19" spans="1:2" x14ac:dyDescent="0.25">
      <c r="A19" t="s">
        <v>316</v>
      </c>
    </row>
    <row r="20" spans="1:2" x14ac:dyDescent="0.25">
      <c r="A20">
        <v>28</v>
      </c>
      <c r="B20">
        <v>34</v>
      </c>
    </row>
    <row r="25" spans="1:2" x14ac:dyDescent="0.25">
      <c r="A25" s="201" t="s">
        <v>317</v>
      </c>
    </row>
    <row r="26" spans="1:2" x14ac:dyDescent="0.25">
      <c r="A26" s="199" t="s">
        <v>319</v>
      </c>
      <c r="B26" s="199" t="s">
        <v>332</v>
      </c>
    </row>
    <row r="27" spans="1:2" x14ac:dyDescent="0.25">
      <c r="A27" t="s">
        <v>334</v>
      </c>
      <c r="B27" t="s">
        <v>338</v>
      </c>
    </row>
    <row r="28" spans="1:2" x14ac:dyDescent="0.25">
      <c r="A28" s="199" t="s">
        <v>320</v>
      </c>
      <c r="B28" s="199" t="s">
        <v>320</v>
      </c>
    </row>
    <row r="29" spans="1:2" x14ac:dyDescent="0.25">
      <c r="B29" s="199" t="s">
        <v>319</v>
      </c>
    </row>
    <row r="30" spans="1:2" x14ac:dyDescent="0.25">
      <c r="B30" t="s">
        <v>333</v>
      </c>
    </row>
    <row r="31" spans="1:2" x14ac:dyDescent="0.25">
      <c r="B31" s="199" t="s">
        <v>320</v>
      </c>
    </row>
    <row r="32" spans="1:2" x14ac:dyDescent="0.25">
      <c r="B32" s="199" t="s">
        <v>322</v>
      </c>
    </row>
    <row r="33" spans="2:2" x14ac:dyDescent="0.25">
      <c r="B33" t="s">
        <v>339</v>
      </c>
    </row>
    <row r="34" spans="2:2" x14ac:dyDescent="0.25">
      <c r="B34" s="199" t="s">
        <v>320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H57"/>
  <sheetViews>
    <sheetView topLeftCell="N1" zoomScale="85" zoomScaleNormal="85" workbookViewId="0">
      <selection activeCell="N15" sqref="N15"/>
    </sheetView>
  </sheetViews>
  <sheetFormatPr baseColWidth="10" defaultRowHeight="15" x14ac:dyDescent="0.25"/>
  <cols>
    <col min="2" max="2" width="18.5703125" bestFit="1" customWidth="1"/>
    <col min="3" max="4" width="15.7109375" bestFit="1" customWidth="1"/>
    <col min="5" max="5" width="16.7109375" bestFit="1" customWidth="1"/>
    <col min="9" max="9" width="32.5703125" customWidth="1"/>
    <col min="10" max="10" width="1.7109375" customWidth="1"/>
    <col min="11" max="11" width="11.42578125" customWidth="1"/>
    <col min="12" max="12" width="13.140625" customWidth="1"/>
    <col min="13" max="13" width="14.42578125" customWidth="1"/>
    <col min="14" max="14" width="12.85546875" bestFit="1" customWidth="1"/>
    <col min="15" max="26" width="11.5703125" bestFit="1" customWidth="1"/>
    <col min="27" max="33" width="12.5703125" bestFit="1" customWidth="1"/>
  </cols>
  <sheetData>
    <row r="2" spans="1:33" x14ac:dyDescent="0.25">
      <c r="N2" s="267">
        <v>2.3676212766897072E-2</v>
      </c>
      <c r="O2" s="267">
        <v>2.3838212766897071E-2</v>
      </c>
      <c r="P2" s="267">
        <v>2.4005072766897072E-2</v>
      </c>
      <c r="Q2" s="267">
        <v>2.4176938566897073E-2</v>
      </c>
      <c r="R2" s="267">
        <v>2.4353960340897072E-2</v>
      </c>
      <c r="S2" s="267">
        <v>2.4536292768117075E-2</v>
      </c>
      <c r="T2" s="267">
        <v>2.4724095168153676E-2</v>
      </c>
      <c r="U2" s="267">
        <v>2.4917531640191372E-2</v>
      </c>
      <c r="V2" s="267">
        <v>2.51167712063902E-2</v>
      </c>
      <c r="W2" s="267">
        <v>2.5321987959574993E-2</v>
      </c>
      <c r="X2" s="267">
        <v>2.5533361215355332E-2</v>
      </c>
      <c r="Y2" s="267">
        <v>2.5751075668809079E-2</v>
      </c>
      <c r="Z2" s="267">
        <v>2.5975321555866439E-2</v>
      </c>
      <c r="AA2" s="267">
        <v>2.6206294819535521E-2</v>
      </c>
      <c r="AB2" s="267">
        <v>2.6444197281114676E-2</v>
      </c>
      <c r="AC2" s="267">
        <v>2.6689236816541208E-2</v>
      </c>
      <c r="AD2" s="267">
        <v>2.6941627538030526E-2</v>
      </c>
      <c r="AE2" s="267">
        <v>2.7201589981164533E-2</v>
      </c>
      <c r="AF2" s="267">
        <v>2.7469351297592554E-2</v>
      </c>
      <c r="AG2" s="267">
        <v>2.7745145453513424E-2</v>
      </c>
    </row>
    <row r="3" spans="1:33" x14ac:dyDescent="0.25">
      <c r="A3" s="193" t="s">
        <v>289</v>
      </c>
      <c r="B3" s="190"/>
      <c r="C3" s="190"/>
      <c r="D3" s="190"/>
      <c r="E3" s="190"/>
      <c r="F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row>
    <row r="4" spans="1:33" ht="15.75" thickBot="1" x14ac:dyDescent="0.3">
      <c r="A4" s="190"/>
      <c r="B4" s="314" t="s">
        <v>290</v>
      </c>
      <c r="C4" s="314"/>
      <c r="D4" s="191"/>
      <c r="E4" s="191"/>
      <c r="F4" s="191"/>
      <c r="H4" s="198"/>
      <c r="I4" s="201"/>
      <c r="J4" s="198"/>
      <c r="K4" s="201" t="s">
        <v>326</v>
      </c>
      <c r="L4" s="201" t="s">
        <v>298</v>
      </c>
      <c r="M4" s="198"/>
      <c r="N4" s="198"/>
      <c r="O4" s="198"/>
      <c r="P4" s="198"/>
      <c r="Q4" s="198"/>
      <c r="R4" s="198"/>
      <c r="S4" s="198"/>
      <c r="T4" s="198"/>
      <c r="U4" s="198"/>
      <c r="V4" s="198"/>
      <c r="W4" s="198"/>
      <c r="X4" s="198"/>
      <c r="Y4" s="198"/>
      <c r="Z4" s="198"/>
      <c r="AA4" s="198"/>
      <c r="AB4" s="198"/>
      <c r="AC4" s="198"/>
      <c r="AD4" s="198"/>
      <c r="AE4" s="198"/>
      <c r="AF4" s="198"/>
      <c r="AG4" s="198"/>
    </row>
    <row r="5" spans="1:33" x14ac:dyDescent="0.25">
      <c r="A5" s="190"/>
      <c r="B5" s="314"/>
      <c r="C5" s="314"/>
      <c r="D5" s="191"/>
      <c r="E5" s="191"/>
      <c r="F5" s="191"/>
      <c r="H5" s="218">
        <v>1</v>
      </c>
      <c r="I5" s="216" t="s">
        <v>290</v>
      </c>
      <c r="J5" s="240"/>
      <c r="K5" s="244">
        <v>8.9792999999999998E-2</v>
      </c>
      <c r="L5" s="216" t="s">
        <v>290</v>
      </c>
      <c r="M5" s="240"/>
      <c r="N5" s="264">
        <v>7.6999999999999999E-2</v>
      </c>
      <c r="O5" s="198"/>
      <c r="P5" s="222"/>
      <c r="Q5" s="198"/>
      <c r="R5" s="198"/>
      <c r="S5" s="198"/>
      <c r="T5" s="215" t="s">
        <v>299</v>
      </c>
      <c r="U5" s="198"/>
      <c r="V5" s="198"/>
      <c r="W5" s="198"/>
      <c r="X5" s="198"/>
      <c r="Y5" s="198"/>
      <c r="Z5" s="198"/>
      <c r="AA5" s="198"/>
      <c r="AB5" s="198"/>
      <c r="AC5" s="198"/>
      <c r="AD5" s="198"/>
      <c r="AE5" s="198"/>
      <c r="AF5" s="198"/>
      <c r="AG5" s="198"/>
    </row>
    <row r="6" spans="1:33" x14ac:dyDescent="0.25">
      <c r="A6" s="190"/>
      <c r="B6" s="60"/>
      <c r="C6" s="221"/>
      <c r="E6" s="190"/>
      <c r="F6" s="190"/>
      <c r="H6" s="218">
        <v>2</v>
      </c>
      <c r="I6" s="215" t="s">
        <v>328</v>
      </c>
      <c r="J6" s="221"/>
      <c r="K6" s="251">
        <v>2.3676212766897072E-2</v>
      </c>
      <c r="L6" s="215" t="s">
        <v>300</v>
      </c>
      <c r="M6" s="221"/>
      <c r="N6" s="252">
        <v>2.5710679110205248E-2</v>
      </c>
      <c r="O6" s="198"/>
      <c r="P6" s="198"/>
      <c r="Q6" s="198"/>
      <c r="R6" s="198"/>
      <c r="S6" s="198"/>
      <c r="T6" s="198" t="s">
        <v>301</v>
      </c>
      <c r="U6" s="198"/>
      <c r="V6" s="198"/>
      <c r="W6" s="198"/>
      <c r="X6" s="198"/>
      <c r="Y6" s="198"/>
      <c r="Z6" s="198"/>
      <c r="AA6" s="198"/>
      <c r="AB6" s="198"/>
      <c r="AC6" s="198"/>
      <c r="AD6" s="198"/>
      <c r="AE6" s="198"/>
      <c r="AF6" s="198"/>
      <c r="AG6" s="198"/>
    </row>
    <row r="7" spans="1:33" x14ac:dyDescent="0.25">
      <c r="A7" s="190"/>
      <c r="B7" s="190"/>
      <c r="C7" s="190"/>
      <c r="D7" s="190"/>
      <c r="E7" s="190"/>
      <c r="F7" s="190"/>
      <c r="H7" s="218">
        <v>3</v>
      </c>
      <c r="I7" s="215" t="s">
        <v>302</v>
      </c>
      <c r="J7" s="221"/>
      <c r="K7" s="242">
        <v>81417800</v>
      </c>
      <c r="L7" s="215" t="s">
        <v>302</v>
      </c>
      <c r="M7" s="221"/>
      <c r="N7" s="254">
        <v>81417800</v>
      </c>
      <c r="O7" s="198"/>
      <c r="P7" s="198"/>
      <c r="Q7" s="248"/>
      <c r="R7" s="248"/>
      <c r="S7" s="198"/>
      <c r="T7" s="198"/>
      <c r="U7" s="198"/>
      <c r="V7" s="198"/>
      <c r="W7" s="198"/>
      <c r="X7" s="198"/>
      <c r="Y7" s="198"/>
      <c r="Z7" s="198"/>
      <c r="AA7" s="198"/>
      <c r="AB7" s="198"/>
      <c r="AC7" s="198"/>
      <c r="AD7" s="198"/>
      <c r="AE7" s="198"/>
      <c r="AF7" s="198"/>
      <c r="AG7" s="198"/>
    </row>
    <row r="8" spans="1:33" x14ac:dyDescent="0.25">
      <c r="A8" s="190"/>
      <c r="B8" s="190"/>
      <c r="C8" s="196" t="s">
        <v>285</v>
      </c>
      <c r="D8" s="196" t="s">
        <v>291</v>
      </c>
      <c r="E8" s="196" t="s">
        <v>286</v>
      </c>
      <c r="F8" s="195"/>
      <c r="H8" s="218">
        <v>4</v>
      </c>
      <c r="I8" s="220" t="s">
        <v>303</v>
      </c>
      <c r="J8" s="221"/>
      <c r="K8" s="242">
        <v>38856824.973953441</v>
      </c>
      <c r="L8" s="220" t="s">
        <v>303</v>
      </c>
      <c r="M8" s="221"/>
      <c r="N8" s="254">
        <v>38856824.973953441</v>
      </c>
      <c r="O8" s="198"/>
      <c r="P8" s="198"/>
      <c r="Q8" s="198"/>
      <c r="R8" s="25"/>
      <c r="S8" s="25"/>
      <c r="T8" s="25"/>
      <c r="U8" s="198"/>
      <c r="V8" s="198"/>
      <c r="W8" s="198"/>
      <c r="X8" s="198"/>
      <c r="Y8" s="198"/>
      <c r="Z8" s="198"/>
      <c r="AA8" s="198"/>
      <c r="AB8" s="198"/>
      <c r="AC8" s="198"/>
      <c r="AD8" s="198"/>
      <c r="AE8" s="198"/>
      <c r="AF8" s="198"/>
      <c r="AG8" s="198"/>
    </row>
    <row r="9" spans="1:33" ht="15.75" thickBot="1" x14ac:dyDescent="0.3">
      <c r="A9" s="190"/>
      <c r="B9" s="192" t="s">
        <v>290</v>
      </c>
      <c r="C9" s="197">
        <v>6.5000000000000002E-2</v>
      </c>
      <c r="D9" s="197">
        <v>7.6999999999999999E-2</v>
      </c>
      <c r="E9" s="197">
        <v>8.8999999999999996E-2</v>
      </c>
      <c r="F9" s="194"/>
      <c r="H9" s="218">
        <v>5</v>
      </c>
      <c r="I9" s="217" t="s">
        <v>166</v>
      </c>
      <c r="J9" s="241"/>
      <c r="K9" s="243">
        <v>0.11949439999999997</v>
      </c>
      <c r="L9" s="217" t="s">
        <v>166</v>
      </c>
      <c r="M9" s="241"/>
      <c r="N9" s="255">
        <v>0.11949439999999997</v>
      </c>
      <c r="O9" s="198"/>
      <c r="P9" s="198"/>
      <c r="Q9" s="198"/>
      <c r="R9" s="198"/>
      <c r="S9" s="198"/>
      <c r="T9" s="198"/>
      <c r="U9" s="198"/>
      <c r="V9" s="198"/>
      <c r="W9" s="198"/>
      <c r="X9" s="198"/>
      <c r="Y9" s="198"/>
      <c r="Z9" s="198"/>
      <c r="AA9" s="198"/>
      <c r="AB9" s="198"/>
      <c r="AC9" s="198"/>
      <c r="AD9" s="198"/>
      <c r="AE9" s="198"/>
      <c r="AF9" s="198"/>
      <c r="AG9" s="198"/>
    </row>
    <row r="10" spans="1:33" s="198" customFormat="1" x14ac:dyDescent="0.25">
      <c r="B10" s="73"/>
      <c r="C10" s="269"/>
      <c r="D10" s="269"/>
      <c r="E10" s="269"/>
      <c r="F10" s="202"/>
      <c r="H10" s="218"/>
      <c r="I10" s="73"/>
      <c r="J10" s="195"/>
      <c r="K10" s="268"/>
      <c r="L10" s="73"/>
      <c r="M10" s="195"/>
      <c r="N10" s="263"/>
    </row>
    <row r="11" spans="1:33" s="198" customFormat="1" x14ac:dyDescent="0.25">
      <c r="B11" s="73"/>
      <c r="C11" s="269"/>
      <c r="D11" s="269"/>
      <c r="E11" s="269"/>
      <c r="F11" s="202"/>
      <c r="H11" s="218"/>
      <c r="I11" s="73"/>
      <c r="J11" s="195"/>
      <c r="K11" s="268"/>
      <c r="L11" s="73"/>
      <c r="M11" s="195" t="s">
        <v>335</v>
      </c>
      <c r="N11" s="270">
        <v>0.03</v>
      </c>
      <c r="O11" s="198">
        <v>1.06</v>
      </c>
      <c r="P11" s="249">
        <f>O11+$N$11</f>
        <v>1.0900000000000001</v>
      </c>
      <c r="Q11" s="249">
        <f>P11+$N$11</f>
        <v>1.1200000000000001</v>
      </c>
      <c r="R11" s="249">
        <f t="shared" ref="R11:AD11" si="0">Q11+$N$11</f>
        <v>1.1500000000000001</v>
      </c>
      <c r="S11" s="249">
        <f t="shared" si="0"/>
        <v>1.1800000000000002</v>
      </c>
      <c r="T11" s="249">
        <f t="shared" si="0"/>
        <v>1.2100000000000002</v>
      </c>
      <c r="U11" s="249">
        <f t="shared" si="0"/>
        <v>1.2400000000000002</v>
      </c>
      <c r="V11" s="249">
        <f t="shared" si="0"/>
        <v>1.2700000000000002</v>
      </c>
      <c r="W11" s="249">
        <f t="shared" si="0"/>
        <v>1.3000000000000003</v>
      </c>
      <c r="X11" s="249">
        <f t="shared" si="0"/>
        <v>1.3300000000000003</v>
      </c>
      <c r="Y11" s="249">
        <f t="shared" si="0"/>
        <v>1.3600000000000003</v>
      </c>
      <c r="Z11" s="249">
        <f t="shared" si="0"/>
        <v>1.3900000000000003</v>
      </c>
      <c r="AA11" s="249">
        <f t="shared" si="0"/>
        <v>1.4200000000000004</v>
      </c>
      <c r="AB11" s="249">
        <f t="shared" si="0"/>
        <v>1.4500000000000004</v>
      </c>
      <c r="AC11" s="249">
        <f t="shared" si="0"/>
        <v>1.4800000000000004</v>
      </c>
      <c r="AD11" s="249">
        <f t="shared" si="0"/>
        <v>1.5100000000000005</v>
      </c>
      <c r="AE11" s="249">
        <v>1</v>
      </c>
      <c r="AF11" s="249">
        <v>1</v>
      </c>
      <c r="AG11" s="249">
        <v>1</v>
      </c>
    </row>
    <row r="12" spans="1:33" s="198" customFormat="1" x14ac:dyDescent="0.25">
      <c r="B12" s="73"/>
      <c r="C12" s="269"/>
      <c r="D12" s="269"/>
      <c r="E12" s="269"/>
      <c r="F12" s="202"/>
      <c r="H12" s="218"/>
      <c r="I12" s="73"/>
      <c r="J12" s="195"/>
      <c r="K12" s="268"/>
      <c r="L12" s="73"/>
      <c r="M12" s="201" t="s">
        <v>128</v>
      </c>
      <c r="N12" s="270">
        <v>3.5000000000000001E-3</v>
      </c>
      <c r="O12" s="198">
        <v>1.004</v>
      </c>
      <c r="P12" s="249">
        <f>O12+$N$12</f>
        <v>1.0075000000000001</v>
      </c>
      <c r="Q12" s="198">
        <f>P12+$P$9</f>
        <v>1.0075000000000001</v>
      </c>
      <c r="R12" s="198">
        <f>Q12+$P$9</f>
        <v>1.0075000000000001</v>
      </c>
      <c r="S12" s="198">
        <f>R12+$P$9</f>
        <v>1.0075000000000001</v>
      </c>
      <c r="T12" s="198">
        <f t="shared" ref="T12:AG12" si="1">S12+$P$9</f>
        <v>1.0075000000000001</v>
      </c>
      <c r="U12" s="198">
        <f t="shared" si="1"/>
        <v>1.0075000000000001</v>
      </c>
      <c r="V12" s="198">
        <f t="shared" si="1"/>
        <v>1.0075000000000001</v>
      </c>
      <c r="W12" s="198">
        <f t="shared" si="1"/>
        <v>1.0075000000000001</v>
      </c>
      <c r="X12" s="198">
        <f t="shared" si="1"/>
        <v>1.0075000000000001</v>
      </c>
      <c r="Y12" s="198">
        <f t="shared" si="1"/>
        <v>1.0075000000000001</v>
      </c>
      <c r="Z12" s="198">
        <f t="shared" si="1"/>
        <v>1.0075000000000001</v>
      </c>
      <c r="AA12" s="198">
        <f t="shared" si="1"/>
        <v>1.0075000000000001</v>
      </c>
      <c r="AB12" s="198">
        <f t="shared" si="1"/>
        <v>1.0075000000000001</v>
      </c>
      <c r="AC12" s="198">
        <f t="shared" si="1"/>
        <v>1.0075000000000001</v>
      </c>
      <c r="AD12" s="198">
        <f t="shared" si="1"/>
        <v>1.0075000000000001</v>
      </c>
      <c r="AE12" s="198">
        <f t="shared" si="1"/>
        <v>1.0075000000000001</v>
      </c>
      <c r="AF12" s="198">
        <f t="shared" si="1"/>
        <v>1.0075000000000001</v>
      </c>
      <c r="AG12" s="198">
        <f t="shared" si="1"/>
        <v>1.0075000000000001</v>
      </c>
    </row>
    <row r="13" spans="1:33" x14ac:dyDescent="0.25">
      <c r="A13" s="190"/>
      <c r="B13" s="190"/>
      <c r="C13" s="190"/>
      <c r="D13" s="190"/>
      <c r="E13" s="190"/>
      <c r="F13" s="190"/>
      <c r="H13" s="202"/>
      <c r="I13" s="203"/>
      <c r="J13" s="202"/>
      <c r="K13" s="202"/>
      <c r="L13" s="202"/>
      <c r="M13" s="198"/>
      <c r="N13" s="198"/>
    </row>
    <row r="14" spans="1:33" x14ac:dyDescent="0.25">
      <c r="A14" s="190"/>
      <c r="B14" s="190"/>
      <c r="C14" s="190"/>
      <c r="D14" s="190"/>
      <c r="E14" s="190"/>
      <c r="F14" s="190"/>
      <c r="H14" s="198"/>
      <c r="I14" s="332" t="s">
        <v>304</v>
      </c>
      <c r="J14" s="332"/>
      <c r="K14" s="332"/>
      <c r="L14" s="332"/>
      <c r="M14" s="60" t="s">
        <v>290</v>
      </c>
      <c r="N14" s="57">
        <v>8.9792999999999998E-2</v>
      </c>
      <c r="O14" s="71">
        <v>9.5261393699999988E-2</v>
      </c>
      <c r="P14" s="71">
        <v>0.10409469695361989</v>
      </c>
      <c r="Q14" s="71">
        <v>0.11715949849557937</v>
      </c>
      <c r="R14" s="71">
        <v>0.13581996916391503</v>
      </c>
      <c r="S14" s="71">
        <v>0.16217614609467074</v>
      </c>
      <c r="T14" s="71">
        <v>0.19945620367716116</v>
      </c>
      <c r="U14" s="71">
        <v>0.25266515136538242</v>
      </c>
      <c r="V14" s="71">
        <v>0.3296707139897081</v>
      </c>
      <c r="W14" s="71">
        <v>0.44304987232084014</v>
      </c>
      <c r="X14" s="71">
        <v>0.61328463968664815</v>
      </c>
      <c r="Y14" s="71">
        <v>0.87439725176877503</v>
      </c>
      <c r="Z14" s="71">
        <v>1.2840818431718419</v>
      </c>
      <c r="AA14" s="71">
        <v>1.9422890018547414</v>
      </c>
      <c r="AB14" s="71">
        <v>3.0260229785117105</v>
      </c>
      <c r="AC14" s="71">
        <v>4.8558785584786364</v>
      </c>
      <c r="AD14" s="71">
        <v>4.8558785584786364</v>
      </c>
      <c r="AE14" s="71">
        <v>4.8558785584786364</v>
      </c>
      <c r="AF14" s="71">
        <v>4.8558785584786364</v>
      </c>
      <c r="AG14" s="71">
        <v>4.8558785584786364</v>
      </c>
    </row>
    <row r="15" spans="1:33" x14ac:dyDescent="0.25">
      <c r="A15" s="193" t="s">
        <v>292</v>
      </c>
      <c r="B15" s="190"/>
      <c r="C15" s="190"/>
      <c r="D15" s="190"/>
      <c r="E15" s="190"/>
      <c r="F15" s="190"/>
      <c r="H15" s="198"/>
      <c r="I15" s="332"/>
      <c r="J15" s="332"/>
      <c r="K15" s="332"/>
      <c r="L15" s="332"/>
      <c r="M15" s="60" t="s">
        <v>329</v>
      </c>
      <c r="N15" s="262">
        <v>2.3676212766897072E-2</v>
      </c>
      <c r="O15" s="263">
        <v>2.3838212766897071E-2</v>
      </c>
      <c r="P15" s="263">
        <v>2.4005072766897072E-2</v>
      </c>
      <c r="Q15" s="263">
        <v>2.4176938566897073E-2</v>
      </c>
      <c r="R15" s="263">
        <v>2.4353960340897072E-2</v>
      </c>
      <c r="S15" s="263">
        <v>2.4536292768117075E-2</v>
      </c>
      <c r="T15" s="263">
        <v>2.4724095168153676E-2</v>
      </c>
      <c r="U15" s="263">
        <v>2.4917531640191372E-2</v>
      </c>
      <c r="V15" s="263">
        <v>2.51167712063902E-2</v>
      </c>
      <c r="W15" s="263">
        <v>2.5321987959574993E-2</v>
      </c>
      <c r="X15" s="263">
        <v>2.5533361215355332E-2</v>
      </c>
      <c r="Y15" s="263">
        <v>2.5751075668809079E-2</v>
      </c>
      <c r="Z15" s="263">
        <v>2.5975321555866439E-2</v>
      </c>
      <c r="AA15" s="263">
        <v>2.6206294819535521E-2</v>
      </c>
      <c r="AB15" s="263">
        <v>2.6444197281114676E-2</v>
      </c>
      <c r="AC15" s="263">
        <v>2.6689236816541208E-2</v>
      </c>
      <c r="AD15" s="263">
        <v>2.6941627538030526E-2</v>
      </c>
      <c r="AE15" s="263">
        <v>2.7201589981164533E-2</v>
      </c>
      <c r="AF15" s="263">
        <v>2.7469351297592554E-2</v>
      </c>
      <c r="AG15" s="263">
        <v>2.7745145453513424E-2</v>
      </c>
    </row>
    <row r="16" spans="1:33" x14ac:dyDescent="0.25">
      <c r="A16" s="190"/>
      <c r="B16" s="314" t="s">
        <v>330</v>
      </c>
      <c r="C16" s="314"/>
      <c r="D16" s="191"/>
      <c r="E16" s="191"/>
      <c r="F16" s="190"/>
      <c r="H16" s="198"/>
      <c r="I16" s="198"/>
      <c r="J16" s="198"/>
      <c r="K16" s="198"/>
      <c r="L16" s="198"/>
      <c r="M16" s="198"/>
      <c r="N16" s="204">
        <v>1</v>
      </c>
      <c r="O16" s="204">
        <v>2</v>
      </c>
      <c r="P16" s="204">
        <v>3</v>
      </c>
      <c r="Q16" s="204">
        <v>4</v>
      </c>
      <c r="R16" s="204">
        <v>5</v>
      </c>
      <c r="S16" s="204">
        <v>6</v>
      </c>
      <c r="T16" s="204">
        <v>7</v>
      </c>
      <c r="U16" s="204">
        <v>8</v>
      </c>
      <c r="V16" s="204">
        <v>9</v>
      </c>
      <c r="W16" s="204">
        <v>10</v>
      </c>
      <c r="X16" s="204">
        <v>11</v>
      </c>
      <c r="Y16" s="204">
        <v>12</v>
      </c>
      <c r="Z16" s="204">
        <v>13</v>
      </c>
      <c r="AA16" s="204">
        <v>14</v>
      </c>
      <c r="AB16" s="204">
        <v>15</v>
      </c>
      <c r="AC16" s="204">
        <v>16</v>
      </c>
      <c r="AD16" s="204">
        <v>17</v>
      </c>
      <c r="AE16" s="204">
        <v>18</v>
      </c>
      <c r="AF16" s="204">
        <v>19</v>
      </c>
      <c r="AG16" s="204">
        <v>20</v>
      </c>
    </row>
    <row r="17" spans="1:33" x14ac:dyDescent="0.25">
      <c r="A17" s="190"/>
      <c r="B17" s="314"/>
      <c r="C17" s="314"/>
      <c r="D17" s="191"/>
      <c r="E17" s="191"/>
      <c r="F17" s="190"/>
      <c r="H17" s="198"/>
      <c r="I17" s="305"/>
      <c r="J17" s="305"/>
      <c r="K17" s="305"/>
      <c r="L17" s="305"/>
      <c r="M17" s="305"/>
      <c r="N17" s="210" t="s">
        <v>20</v>
      </c>
      <c r="O17" s="210" t="s">
        <v>21</v>
      </c>
      <c r="P17" s="210" t="s">
        <v>22</v>
      </c>
      <c r="Q17" s="210" t="s">
        <v>23</v>
      </c>
      <c r="R17" s="210" t="s">
        <v>24</v>
      </c>
      <c r="S17" s="210" t="s">
        <v>25</v>
      </c>
      <c r="T17" s="210" t="s">
        <v>26</v>
      </c>
      <c r="U17" s="210" t="s">
        <v>27</v>
      </c>
      <c r="V17" s="210" t="s">
        <v>28</v>
      </c>
      <c r="W17" s="210" t="s">
        <v>29</v>
      </c>
      <c r="X17" s="210" t="s">
        <v>30</v>
      </c>
      <c r="Y17" s="210" t="s">
        <v>31</v>
      </c>
      <c r="Z17" s="210" t="s">
        <v>32</v>
      </c>
      <c r="AA17" s="210" t="s">
        <v>33</v>
      </c>
      <c r="AB17" s="210" t="s">
        <v>34</v>
      </c>
      <c r="AC17" s="210" t="s">
        <v>35</v>
      </c>
      <c r="AD17" s="210" t="s">
        <v>36</v>
      </c>
      <c r="AE17" s="210" t="s">
        <v>37</v>
      </c>
      <c r="AF17" s="210" t="s">
        <v>38</v>
      </c>
      <c r="AG17" s="210" t="s">
        <v>39</v>
      </c>
    </row>
    <row r="18" spans="1:33" x14ac:dyDescent="0.25">
      <c r="A18" s="190"/>
      <c r="B18" s="60"/>
      <c r="C18" s="182"/>
      <c r="D18" s="190"/>
      <c r="E18" s="190"/>
      <c r="F18" s="190"/>
      <c r="H18" s="77">
        <v>8327021.1682000002</v>
      </c>
      <c r="I18" s="336" t="s">
        <v>107</v>
      </c>
      <c r="J18" s="337"/>
      <c r="K18" s="337"/>
      <c r="L18" s="337"/>
      <c r="M18" s="338"/>
      <c r="N18" s="206">
        <f>SUM(N19:N20)</f>
        <v>7285443.2527999999</v>
      </c>
      <c r="O18" s="206">
        <f t="shared" ref="O18:AG18" si="2">SUM(O19:O20)</f>
        <v>8804766.4776774589</v>
      </c>
      <c r="P18" s="206">
        <f t="shared" si="2"/>
        <v>9557515.9834061004</v>
      </c>
      <c r="Q18" s="206">
        <f t="shared" si="2"/>
        <v>10655858.734893871</v>
      </c>
      <c r="R18" s="206">
        <f t="shared" si="2"/>
        <v>12210896.887459265</v>
      </c>
      <c r="S18" s="206">
        <f t="shared" si="2"/>
        <v>14393646.311238242</v>
      </c>
      <c r="T18" s="206">
        <f t="shared" si="2"/>
        <v>17466974.464557342</v>
      </c>
      <c r="U18" s="206">
        <f t="shared" si="2"/>
        <v>21838415.978921354</v>
      </c>
      <c r="V18" s="206">
        <f t="shared" si="2"/>
        <v>28148582.682534892</v>
      </c>
      <c r="W18" s="206">
        <f t="shared" si="2"/>
        <v>37421504.909309372</v>
      </c>
      <c r="X18" s="206">
        <f t="shared" si="2"/>
        <v>51324824.640214555</v>
      </c>
      <c r="Y18" s="206">
        <f t="shared" si="2"/>
        <v>72628600.300295055</v>
      </c>
      <c r="Z18" s="206">
        <f t="shared" si="2"/>
        <v>106030205.61775921</v>
      </c>
      <c r="AA18" s="206">
        <f t="shared" si="2"/>
        <v>159667443.20362821</v>
      </c>
      <c r="AB18" s="206">
        <f t="shared" si="2"/>
        <v>247951656.83095938</v>
      </c>
      <c r="AC18" s="206">
        <f t="shared" si="2"/>
        <v>396985017.21106541</v>
      </c>
      <c r="AD18" s="206">
        <f t="shared" si="2"/>
        <v>397037179.38426745</v>
      </c>
      <c r="AE18" s="206">
        <f t="shared" si="2"/>
        <v>397091010.7470119</v>
      </c>
      <c r="AF18" s="206">
        <f t="shared" si="2"/>
        <v>397146564.71336424</v>
      </c>
      <c r="AG18" s="206">
        <f t="shared" si="2"/>
        <v>397203896.40663981</v>
      </c>
    </row>
    <row r="19" spans="1:33" x14ac:dyDescent="0.25">
      <c r="A19" s="190"/>
      <c r="B19" s="190"/>
      <c r="C19" s="190"/>
      <c r="D19" s="190"/>
      <c r="E19" s="190"/>
      <c r="F19" s="190"/>
      <c r="H19" s="77">
        <v>7310748.5153999999</v>
      </c>
      <c r="I19" s="351" t="s">
        <v>220</v>
      </c>
      <c r="J19" s="351"/>
      <c r="K19" s="351"/>
      <c r="L19" s="351"/>
      <c r="M19" s="351"/>
      <c r="N19" s="207">
        <f>N5*$N$7</f>
        <v>6269170.5999999996</v>
      </c>
      <c r="O19" s="207">
        <f>$N$7*O14</f>
        <v>7755973.0999878589</v>
      </c>
      <c r="P19" s="207">
        <f>$N$7*P14</f>
        <v>8475161.2176304329</v>
      </c>
      <c r="Q19" s="207">
        <f>$N$7*Q14</f>
        <v>9538868.6166133825</v>
      </c>
      <c r="R19" s="207">
        <f t="shared" ref="R19:AG19" si="3">$N$7*R14</f>
        <v>11058163.085393801</v>
      </c>
      <c r="S19" s="207">
        <f t="shared" si="3"/>
        <v>13204025.027506683</v>
      </c>
      <c r="T19" s="207">
        <f t="shared" si="3"/>
        <v>16239285.299746372</v>
      </c>
      <c r="U19" s="207">
        <f t="shared" si="3"/>
        <v>20571440.760836434</v>
      </c>
      <c r="V19" s="207">
        <f t="shared" si="3"/>
        <v>26841064.257471256</v>
      </c>
      <c r="W19" s="207">
        <f t="shared" si="3"/>
        <v>36072145.894643702</v>
      </c>
      <c r="X19" s="207">
        <f t="shared" si="3"/>
        <v>49932286.137079582</v>
      </c>
      <c r="Y19" s="207">
        <f t="shared" si="3"/>
        <v>71191500.565059766</v>
      </c>
      <c r="Z19" s="207">
        <f t="shared" si="3"/>
        <v>104547118.69099639</v>
      </c>
      <c r="AA19" s="207">
        <f t="shared" si="3"/>
        <v>158136897.49520898</v>
      </c>
      <c r="AB19" s="207">
        <f t="shared" si="3"/>
        <v>246372133.65987074</v>
      </c>
      <c r="AC19" s="207">
        <f t="shared" si="3"/>
        <v>395354949.29850191</v>
      </c>
      <c r="AD19" s="207">
        <f t="shared" si="3"/>
        <v>395354949.29850191</v>
      </c>
      <c r="AE19" s="207">
        <f t="shared" si="3"/>
        <v>395354949.29850191</v>
      </c>
      <c r="AF19" s="207">
        <f t="shared" si="3"/>
        <v>395354949.29850191</v>
      </c>
      <c r="AG19" s="207">
        <f t="shared" si="3"/>
        <v>395354949.29850191</v>
      </c>
    </row>
    <row r="20" spans="1:33" x14ac:dyDescent="0.25">
      <c r="A20" s="190"/>
      <c r="B20" s="190"/>
      <c r="C20" s="196" t="s">
        <v>285</v>
      </c>
      <c r="D20" s="196" t="s">
        <v>291</v>
      </c>
      <c r="E20" s="196" t="s">
        <v>286</v>
      </c>
      <c r="F20" s="190"/>
      <c r="G20" s="246"/>
      <c r="H20" s="77">
        <v>1016272.6527999999</v>
      </c>
      <c r="I20" s="351" t="s">
        <v>108</v>
      </c>
      <c r="J20" s="351"/>
      <c r="K20" s="351"/>
      <c r="L20" s="351"/>
      <c r="M20" s="351"/>
      <c r="N20" s="207">
        <f>Ingresos!E83</f>
        <v>1016272.6527999999</v>
      </c>
      <c r="O20" s="207">
        <f>Ingresos!F83</f>
        <v>1048793.3776896</v>
      </c>
      <c r="P20" s="207">
        <f>Ingresos!G83</f>
        <v>1082354.765775667</v>
      </c>
      <c r="Q20" s="207">
        <f>Ingresos!H83</f>
        <v>1116990.1182804885</v>
      </c>
      <c r="R20" s="207">
        <f>Ingresos!I83</f>
        <v>1152733.8020654642</v>
      </c>
      <c r="S20" s="207">
        <f>Ingresos!J83</f>
        <v>1189621.2837315593</v>
      </c>
      <c r="T20" s="207">
        <f>Ingresos!K83</f>
        <v>1227689.164810969</v>
      </c>
      <c r="U20" s="207">
        <f>Ingresos!L83</f>
        <v>1266975.2180849202</v>
      </c>
      <c r="V20" s="207">
        <f>Ingresos!M83</f>
        <v>1307518.4250636376</v>
      </c>
      <c r="W20" s="207">
        <f>Ingresos!N83</f>
        <v>1349359.014665674</v>
      </c>
      <c r="X20" s="207">
        <f>Ingresos!O83</f>
        <v>1392538.5031349757</v>
      </c>
      <c r="Y20" s="207">
        <f>Ingresos!P83</f>
        <v>1437099.7352352948</v>
      </c>
      <c r="Z20" s="207">
        <f>Ingresos!Q83</f>
        <v>1483086.9267628242</v>
      </c>
      <c r="AA20" s="207">
        <f>Ingresos!R83</f>
        <v>1530545.7084192347</v>
      </c>
      <c r="AB20" s="207">
        <f>Ingresos!S83</f>
        <v>1579523.1710886501</v>
      </c>
      <c r="AC20" s="207">
        <f>Ingresos!T83</f>
        <v>1630067.9125634872</v>
      </c>
      <c r="AD20" s="207">
        <f>Ingresos!U83</f>
        <v>1682230.0857655189</v>
      </c>
      <c r="AE20" s="207">
        <f>Ingresos!V83</f>
        <v>1736061.4485100156</v>
      </c>
      <c r="AF20" s="207">
        <f>Ingresos!W83</f>
        <v>1791615.4148623361</v>
      </c>
      <c r="AG20" s="207">
        <f>Ingresos!X83</f>
        <v>1848947.108137931</v>
      </c>
    </row>
    <row r="21" spans="1:33" x14ac:dyDescent="0.25">
      <c r="A21" s="190"/>
      <c r="B21" s="273" t="s">
        <v>331</v>
      </c>
      <c r="C21" s="219">
        <f>'P y G'!G28</f>
        <v>2.3676212766897072E-2</v>
      </c>
      <c r="D21" s="219">
        <f>AVERAGE(C21,E21)</f>
        <v>2.5710679110205248E-2</v>
      </c>
      <c r="E21" s="219">
        <f>'P y G'!H28</f>
        <v>2.7745145453513424E-2</v>
      </c>
      <c r="F21" s="190"/>
      <c r="H21" s="77">
        <v>1927665.1558126726</v>
      </c>
      <c r="I21" s="336" t="s">
        <v>221</v>
      </c>
      <c r="J21" s="337"/>
      <c r="K21" s="337"/>
      <c r="L21" s="337"/>
      <c r="M21" s="338"/>
      <c r="N21" s="206">
        <f>N6*($N$7)</f>
        <v>2093306.9296588688</v>
      </c>
      <c r="O21" s="206">
        <f>$N$7*O15</f>
        <v>1940854.8394126724</v>
      </c>
      <c r="P21" s="206">
        <f>$N$7*P15</f>
        <v>1954440.2135206724</v>
      </c>
      <c r="Q21" s="206">
        <f t="shared" ref="Q21:AG21" si="4">$N$7*Q15</f>
        <v>1968433.1488519125</v>
      </c>
      <c r="R21" s="206">
        <f t="shared" si="4"/>
        <v>1982845.8722430896</v>
      </c>
      <c r="S21" s="206">
        <f t="shared" si="4"/>
        <v>1997690.9773360023</v>
      </c>
      <c r="T21" s="206">
        <f t="shared" si="4"/>
        <v>2012981.4355817025</v>
      </c>
      <c r="U21" s="206">
        <f t="shared" si="4"/>
        <v>2028730.607574773</v>
      </c>
      <c r="V21" s="206">
        <f t="shared" si="4"/>
        <v>2044952.254727636</v>
      </c>
      <c r="W21" s="206">
        <f t="shared" si="4"/>
        <v>2061660.5512950849</v>
      </c>
      <c r="X21" s="206">
        <f t="shared" si="4"/>
        <v>2078870.0967595573</v>
      </c>
      <c r="Y21" s="206">
        <f t="shared" si="4"/>
        <v>2096595.9285879638</v>
      </c>
      <c r="Z21" s="206">
        <f t="shared" si="4"/>
        <v>2114853.5353712225</v>
      </c>
      <c r="AA21" s="206">
        <f t="shared" si="4"/>
        <v>2133658.8703579791</v>
      </c>
      <c r="AB21" s="206">
        <f t="shared" si="4"/>
        <v>2153028.3653943385</v>
      </c>
      <c r="AC21" s="206">
        <f t="shared" si="4"/>
        <v>2172978.9452817887</v>
      </c>
      <c r="AD21" s="206">
        <f t="shared" si="4"/>
        <v>2193528.0425658617</v>
      </c>
      <c r="AE21" s="206">
        <f t="shared" si="4"/>
        <v>2214693.6127684577</v>
      </c>
      <c r="AF21" s="206">
        <f t="shared" si="4"/>
        <v>2236494.1500771311</v>
      </c>
      <c r="AG21" s="206">
        <f t="shared" si="4"/>
        <v>2258948.7035050653</v>
      </c>
    </row>
    <row r="22" spans="1:33" x14ac:dyDescent="0.25">
      <c r="A22" s="190"/>
      <c r="B22" s="274"/>
      <c r="C22" s="275"/>
      <c r="D22" s="275"/>
      <c r="E22" s="275"/>
      <c r="F22" s="190"/>
      <c r="H22" s="77">
        <v>439656.12000000005</v>
      </c>
      <c r="I22" s="351" t="s">
        <v>109</v>
      </c>
      <c r="J22" s="351"/>
      <c r="K22" s="351"/>
      <c r="L22" s="351"/>
      <c r="M22" s="351"/>
      <c r="N22" s="207">
        <f>N21-N23</f>
        <v>605297.89384619636</v>
      </c>
      <c r="O22" s="207">
        <f>O21-O23</f>
        <v>452845.80359999998</v>
      </c>
      <c r="P22" s="207">
        <f t="shared" ref="P22:AG22" si="5">P21-P23</f>
        <v>466431.17770799994</v>
      </c>
      <c r="Q22" s="207">
        <f t="shared" si="5"/>
        <v>480424.11303924001</v>
      </c>
      <c r="R22" s="207">
        <f t="shared" si="5"/>
        <v>494836.83643041714</v>
      </c>
      <c r="S22" s="207">
        <f t="shared" si="5"/>
        <v>509681.94152332982</v>
      </c>
      <c r="T22" s="207">
        <f t="shared" si="5"/>
        <v>524972.39976903005</v>
      </c>
      <c r="U22" s="207">
        <f t="shared" si="5"/>
        <v>540721.57176210056</v>
      </c>
      <c r="V22" s="207">
        <f t="shared" si="5"/>
        <v>556943.21891496354</v>
      </c>
      <c r="W22" s="207">
        <f t="shared" si="5"/>
        <v>573651.51548241242</v>
      </c>
      <c r="X22" s="207">
        <f t="shared" si="5"/>
        <v>590861.0609468848</v>
      </c>
      <c r="Y22" s="207">
        <f t="shared" si="5"/>
        <v>608586.89277529134</v>
      </c>
      <c r="Z22" s="207">
        <f t="shared" si="5"/>
        <v>626844.49955855007</v>
      </c>
      <c r="AA22" s="207">
        <f t="shared" si="5"/>
        <v>645649.83454530663</v>
      </c>
      <c r="AB22" s="207">
        <f t="shared" si="5"/>
        <v>665019.32958166604</v>
      </c>
      <c r="AC22" s="207">
        <f t="shared" si="5"/>
        <v>684969.90946911625</v>
      </c>
      <c r="AD22" s="207">
        <f t="shared" si="5"/>
        <v>705519.00675318926</v>
      </c>
      <c r="AE22" s="207">
        <f t="shared" si="5"/>
        <v>726684.57695578528</v>
      </c>
      <c r="AF22" s="207">
        <f t="shared" si="5"/>
        <v>748485.11426445865</v>
      </c>
      <c r="AG22" s="207">
        <f t="shared" si="5"/>
        <v>770939.66769239283</v>
      </c>
    </row>
    <row r="23" spans="1:33" x14ac:dyDescent="0.25">
      <c r="A23" s="190"/>
      <c r="B23" s="190"/>
      <c r="C23" s="190"/>
      <c r="D23" s="190"/>
      <c r="E23" s="190"/>
      <c r="F23" s="190"/>
      <c r="H23" s="77">
        <v>1488009.0358126725</v>
      </c>
      <c r="I23" s="351" t="s">
        <v>46</v>
      </c>
      <c r="J23" s="351"/>
      <c r="K23" s="351"/>
      <c r="L23" s="351"/>
      <c r="M23" s="351"/>
      <c r="N23" s="207">
        <f>'C. variables y otros'!D11</f>
        <v>1488009.0358126725</v>
      </c>
      <c r="O23" s="207">
        <f>'C. variables y otros'!E11</f>
        <v>1488009.0358126725</v>
      </c>
      <c r="P23" s="207">
        <f>'C. variables y otros'!F11</f>
        <v>1488009.0358126725</v>
      </c>
      <c r="Q23" s="207">
        <f>'C. variables y otros'!G11</f>
        <v>1488009.0358126725</v>
      </c>
      <c r="R23" s="207">
        <f>'C. variables y otros'!H11</f>
        <v>1488009.0358126725</v>
      </c>
      <c r="S23" s="207">
        <f>'C. variables y otros'!I11</f>
        <v>1488009.0358126725</v>
      </c>
      <c r="T23" s="207">
        <f>'C. variables y otros'!J11</f>
        <v>1488009.0358126725</v>
      </c>
      <c r="U23" s="207">
        <f>'C. variables y otros'!K11</f>
        <v>1488009.0358126725</v>
      </c>
      <c r="V23" s="207">
        <f>'C. variables y otros'!L11</f>
        <v>1488009.0358126725</v>
      </c>
      <c r="W23" s="207">
        <f>'C. variables y otros'!M11</f>
        <v>1488009.0358126725</v>
      </c>
      <c r="X23" s="207">
        <f>'C. variables y otros'!N11</f>
        <v>1488009.0358126725</v>
      </c>
      <c r="Y23" s="207">
        <f>'C. variables y otros'!O11</f>
        <v>1488009.0358126725</v>
      </c>
      <c r="Z23" s="207">
        <f>'C. variables y otros'!P11</f>
        <v>1488009.0358126725</v>
      </c>
      <c r="AA23" s="207">
        <f>'C. variables y otros'!Q11</f>
        <v>1488009.0358126725</v>
      </c>
      <c r="AB23" s="207">
        <f>'C. variables y otros'!R11</f>
        <v>1488009.0358126725</v>
      </c>
      <c r="AC23" s="207">
        <f>'C. variables y otros'!S11</f>
        <v>1488009.0358126725</v>
      </c>
      <c r="AD23" s="207">
        <f>'C. variables y otros'!T11</f>
        <v>1488009.0358126725</v>
      </c>
      <c r="AE23" s="207">
        <f>'C. variables y otros'!U11</f>
        <v>1488009.0358126725</v>
      </c>
      <c r="AF23" s="207">
        <f>'C. variables y otros'!V11</f>
        <v>1488009.0358126725</v>
      </c>
      <c r="AG23" s="207">
        <f>'C. variables y otros'!W11</f>
        <v>1488009.0358126725</v>
      </c>
    </row>
    <row r="24" spans="1:33" x14ac:dyDescent="0.25">
      <c r="A24" s="193" t="s">
        <v>293</v>
      </c>
      <c r="B24" s="190"/>
      <c r="C24" s="190"/>
      <c r="D24" s="190"/>
      <c r="E24" s="190"/>
      <c r="F24" s="190"/>
      <c r="H24" s="77">
        <v>731741.80716253445</v>
      </c>
      <c r="I24" s="336" t="s">
        <v>49</v>
      </c>
      <c r="J24" s="337"/>
      <c r="K24" s="337"/>
      <c r="L24" s="337"/>
      <c r="M24" s="338"/>
      <c r="N24" s="206">
        <f>SUM(N25:N31)</f>
        <v>731741.80716253445</v>
      </c>
      <c r="O24" s="206">
        <f t="shared" ref="O24:AG24" si="6">SUM(O25:O31)</f>
        <v>731741.80716253445</v>
      </c>
      <c r="P24" s="206">
        <f t="shared" si="6"/>
        <v>731741.80716253445</v>
      </c>
      <c r="Q24" s="206">
        <f t="shared" si="6"/>
        <v>731741.80716253445</v>
      </c>
      <c r="R24" s="206">
        <f t="shared" si="6"/>
        <v>731741.80716253445</v>
      </c>
      <c r="S24" s="206">
        <f t="shared" si="6"/>
        <v>731741.80716253445</v>
      </c>
      <c r="T24" s="206">
        <f t="shared" si="6"/>
        <v>731741.80716253445</v>
      </c>
      <c r="U24" s="206">
        <f t="shared" si="6"/>
        <v>731741.80716253445</v>
      </c>
      <c r="V24" s="206">
        <f t="shared" si="6"/>
        <v>731741.80716253445</v>
      </c>
      <c r="W24" s="206">
        <f t="shared" si="6"/>
        <v>731741.80716253445</v>
      </c>
      <c r="X24" s="206">
        <f t="shared" si="6"/>
        <v>731741.80716253445</v>
      </c>
      <c r="Y24" s="206">
        <f t="shared" si="6"/>
        <v>731741.80716253445</v>
      </c>
      <c r="Z24" s="206">
        <f t="shared" si="6"/>
        <v>731741.80716253445</v>
      </c>
      <c r="AA24" s="206">
        <f t="shared" si="6"/>
        <v>731741.80716253445</v>
      </c>
      <c r="AB24" s="206">
        <f t="shared" si="6"/>
        <v>731741.80716253445</v>
      </c>
      <c r="AC24" s="206">
        <f t="shared" si="6"/>
        <v>731741.80716253445</v>
      </c>
      <c r="AD24" s="206">
        <f t="shared" si="6"/>
        <v>731741.80716253445</v>
      </c>
      <c r="AE24" s="206">
        <f t="shared" si="6"/>
        <v>731741.80716253445</v>
      </c>
      <c r="AF24" s="206">
        <f t="shared" si="6"/>
        <v>731741.80716253445</v>
      </c>
      <c r="AG24" s="206">
        <f t="shared" si="6"/>
        <v>731741.80716253445</v>
      </c>
    </row>
    <row r="25" spans="1:33" x14ac:dyDescent="0.25">
      <c r="A25" s="190"/>
      <c r="B25" s="314" t="s">
        <v>166</v>
      </c>
      <c r="C25" s="314"/>
      <c r="D25" s="191"/>
      <c r="E25" s="191"/>
      <c r="F25" s="190"/>
      <c r="H25" s="77">
        <v>105000</v>
      </c>
      <c r="I25" s="351" t="s">
        <v>50</v>
      </c>
      <c r="J25" s="351"/>
      <c r="K25" s="351"/>
      <c r="L25" s="351"/>
      <c r="M25" s="351"/>
      <c r="N25" s="207">
        <f>'P y G'!G14</f>
        <v>105000</v>
      </c>
      <c r="O25" s="207">
        <f>'P y G'!H14</f>
        <v>105000</v>
      </c>
      <c r="P25" s="207">
        <f>'P y G'!I14</f>
        <v>105000</v>
      </c>
      <c r="Q25" s="207">
        <f>'P y G'!J14</f>
        <v>105000</v>
      </c>
      <c r="R25" s="207">
        <f>'P y G'!K14</f>
        <v>105000</v>
      </c>
      <c r="S25" s="207">
        <f>'P y G'!L14</f>
        <v>105000</v>
      </c>
      <c r="T25" s="207">
        <f>'P y G'!M14</f>
        <v>105000</v>
      </c>
      <c r="U25" s="207">
        <f>'P y G'!N14</f>
        <v>105000</v>
      </c>
      <c r="V25" s="207">
        <f>'P y G'!O14</f>
        <v>105000</v>
      </c>
      <c r="W25" s="207">
        <f>'P y G'!P14</f>
        <v>105000</v>
      </c>
      <c r="X25" s="207">
        <f>'P y G'!Q14</f>
        <v>105000</v>
      </c>
      <c r="Y25" s="207">
        <f>'P y G'!R14</f>
        <v>105000</v>
      </c>
      <c r="Z25" s="207">
        <f>'P y G'!S14</f>
        <v>105000</v>
      </c>
      <c r="AA25" s="207">
        <f>'P y G'!T14</f>
        <v>105000</v>
      </c>
      <c r="AB25" s="207">
        <f>'P y G'!U14</f>
        <v>105000</v>
      </c>
      <c r="AC25" s="207">
        <f>'P y G'!V14</f>
        <v>105000</v>
      </c>
      <c r="AD25" s="207">
        <f>'P y G'!W14</f>
        <v>105000</v>
      </c>
      <c r="AE25" s="207">
        <f>'P y G'!X14</f>
        <v>105000</v>
      </c>
      <c r="AF25" s="207">
        <f>'P y G'!Y14</f>
        <v>105000</v>
      </c>
      <c r="AG25" s="207">
        <f>'P y G'!Z14</f>
        <v>105000</v>
      </c>
    </row>
    <row r="26" spans="1:33" x14ac:dyDescent="0.25">
      <c r="A26" s="190"/>
      <c r="B26" s="314"/>
      <c r="C26" s="314"/>
      <c r="D26" s="191"/>
      <c r="E26" s="191"/>
      <c r="F26" s="190"/>
      <c r="H26" s="77">
        <v>64800</v>
      </c>
      <c r="I26" s="351" t="s">
        <v>202</v>
      </c>
      <c r="J26" s="351"/>
      <c r="K26" s="351"/>
      <c r="L26" s="351"/>
      <c r="M26" s="351"/>
      <c r="N26" s="207">
        <f>'P y G'!G15</f>
        <v>64800</v>
      </c>
      <c r="O26" s="207">
        <f>'P y G'!H15</f>
        <v>64800</v>
      </c>
      <c r="P26" s="207">
        <f>'P y G'!I15</f>
        <v>64800</v>
      </c>
      <c r="Q26" s="207">
        <f>'P y G'!J15</f>
        <v>64800</v>
      </c>
      <c r="R26" s="207">
        <f>'P y G'!K15</f>
        <v>64800</v>
      </c>
      <c r="S26" s="207">
        <f>'P y G'!L15</f>
        <v>64800</v>
      </c>
      <c r="T26" s="207">
        <f>'P y G'!M15</f>
        <v>64800</v>
      </c>
      <c r="U26" s="207">
        <f>'P y G'!N15</f>
        <v>64800</v>
      </c>
      <c r="V26" s="207">
        <f>'P y G'!O15</f>
        <v>64800</v>
      </c>
      <c r="W26" s="207">
        <f>'P y G'!P15</f>
        <v>64800</v>
      </c>
      <c r="X26" s="207">
        <f>'P y G'!Q15</f>
        <v>64800</v>
      </c>
      <c r="Y26" s="207">
        <f>'P y G'!R15</f>
        <v>64800</v>
      </c>
      <c r="Z26" s="207">
        <f>'P y G'!S15</f>
        <v>64800</v>
      </c>
      <c r="AA26" s="207">
        <f>'P y G'!T15</f>
        <v>64800</v>
      </c>
      <c r="AB26" s="207">
        <f>'P y G'!U15</f>
        <v>64800</v>
      </c>
      <c r="AC26" s="207">
        <f>'P y G'!V15</f>
        <v>64800</v>
      </c>
      <c r="AD26" s="207">
        <f>'P y G'!W15</f>
        <v>64800</v>
      </c>
      <c r="AE26" s="207">
        <f>'P y G'!X15</f>
        <v>64800</v>
      </c>
      <c r="AF26" s="207">
        <f>'P y G'!Y15</f>
        <v>64800</v>
      </c>
      <c r="AG26" s="207">
        <f>'P y G'!Z15</f>
        <v>64800</v>
      </c>
    </row>
    <row r="27" spans="1:33" x14ac:dyDescent="0.25">
      <c r="A27" s="190"/>
      <c r="B27" s="60"/>
      <c r="C27" s="182"/>
      <c r="D27" s="190"/>
      <c r="E27" s="190"/>
      <c r="F27" s="190"/>
      <c r="H27" s="77">
        <v>35800</v>
      </c>
      <c r="I27" s="351" t="s">
        <v>51</v>
      </c>
      <c r="J27" s="351"/>
      <c r="K27" s="351"/>
      <c r="L27" s="351"/>
      <c r="M27" s="351"/>
      <c r="N27" s="207">
        <f>'P y G'!G16</f>
        <v>35800</v>
      </c>
      <c r="O27" s="207">
        <f>'P y G'!H16</f>
        <v>35800</v>
      </c>
      <c r="P27" s="207">
        <f>'P y G'!I16</f>
        <v>35800</v>
      </c>
      <c r="Q27" s="207">
        <f>'P y G'!J16</f>
        <v>35800</v>
      </c>
      <c r="R27" s="207">
        <f>'P y G'!K16</f>
        <v>35800</v>
      </c>
      <c r="S27" s="207">
        <f>'P y G'!L16</f>
        <v>35800</v>
      </c>
      <c r="T27" s="207">
        <f>'P y G'!M16</f>
        <v>35800</v>
      </c>
      <c r="U27" s="207">
        <f>'P y G'!N16</f>
        <v>35800</v>
      </c>
      <c r="V27" s="207">
        <f>'P y G'!O16</f>
        <v>35800</v>
      </c>
      <c r="W27" s="207">
        <f>'P y G'!P16</f>
        <v>35800</v>
      </c>
      <c r="X27" s="207">
        <f>'P y G'!Q16</f>
        <v>35800</v>
      </c>
      <c r="Y27" s="207">
        <f>'P y G'!R16</f>
        <v>35800</v>
      </c>
      <c r="Z27" s="207">
        <f>'P y G'!S16</f>
        <v>35800</v>
      </c>
      <c r="AA27" s="207">
        <f>'P y G'!T16</f>
        <v>35800</v>
      </c>
      <c r="AB27" s="207">
        <f>'P y G'!U16</f>
        <v>35800</v>
      </c>
      <c r="AC27" s="207">
        <f>'P y G'!V16</f>
        <v>35800</v>
      </c>
      <c r="AD27" s="207">
        <f>'P y G'!W16</f>
        <v>35800</v>
      </c>
      <c r="AE27" s="207">
        <f>'P y G'!X16</f>
        <v>35800</v>
      </c>
      <c r="AF27" s="207">
        <f>'P y G'!Y16</f>
        <v>35800</v>
      </c>
      <c r="AG27" s="207">
        <f>'P y G'!Z16</f>
        <v>35800</v>
      </c>
    </row>
    <row r="28" spans="1:33" x14ac:dyDescent="0.25">
      <c r="A28" s="190"/>
      <c r="B28" s="190"/>
      <c r="C28" s="190"/>
      <c r="D28" s="190"/>
      <c r="E28" s="190"/>
      <c r="F28" s="190"/>
      <c r="H28" s="77">
        <v>25500</v>
      </c>
      <c r="I28" s="351" t="s">
        <v>52</v>
      </c>
      <c r="J28" s="351"/>
      <c r="K28" s="351"/>
      <c r="L28" s="351"/>
      <c r="M28" s="351"/>
      <c r="N28" s="207">
        <f>'P y G'!G17</f>
        <v>25500</v>
      </c>
      <c r="O28" s="207">
        <f>'P y G'!H17</f>
        <v>25500</v>
      </c>
      <c r="P28" s="207">
        <f>'P y G'!I17</f>
        <v>25500</v>
      </c>
      <c r="Q28" s="207">
        <f>'P y G'!J17</f>
        <v>25500</v>
      </c>
      <c r="R28" s="207">
        <f>'P y G'!K17</f>
        <v>25500</v>
      </c>
      <c r="S28" s="207">
        <f>'P y G'!L17</f>
        <v>25500</v>
      </c>
      <c r="T28" s="207">
        <f>'P y G'!M17</f>
        <v>25500</v>
      </c>
      <c r="U28" s="207">
        <f>'P y G'!N17</f>
        <v>25500</v>
      </c>
      <c r="V28" s="207">
        <f>'P y G'!O17</f>
        <v>25500</v>
      </c>
      <c r="W28" s="207">
        <f>'P y G'!P17</f>
        <v>25500</v>
      </c>
      <c r="X28" s="207">
        <f>'P y G'!Q17</f>
        <v>25500</v>
      </c>
      <c r="Y28" s="207">
        <f>'P y G'!R17</f>
        <v>25500</v>
      </c>
      <c r="Z28" s="207">
        <f>'P y G'!S17</f>
        <v>25500</v>
      </c>
      <c r="AA28" s="207">
        <f>'P y G'!T17</f>
        <v>25500</v>
      </c>
      <c r="AB28" s="207">
        <f>'P y G'!U17</f>
        <v>25500</v>
      </c>
      <c r="AC28" s="207">
        <f>'P y G'!V17</f>
        <v>25500</v>
      </c>
      <c r="AD28" s="207">
        <f>'P y G'!W17</f>
        <v>25500</v>
      </c>
      <c r="AE28" s="207">
        <f>'P y G'!X17</f>
        <v>25500</v>
      </c>
      <c r="AF28" s="207">
        <f>'P y G'!Y17</f>
        <v>25500</v>
      </c>
      <c r="AG28" s="207">
        <f>'P y G'!Z17</f>
        <v>25500</v>
      </c>
    </row>
    <row r="29" spans="1:33" x14ac:dyDescent="0.25">
      <c r="A29" s="190"/>
      <c r="B29" s="190"/>
      <c r="C29" s="196" t="s">
        <v>285</v>
      </c>
      <c r="D29" s="196" t="s">
        <v>291</v>
      </c>
      <c r="E29" s="196" t="s">
        <v>286</v>
      </c>
      <c r="F29" s="190"/>
      <c r="H29" s="77">
        <v>297601.8071625345</v>
      </c>
      <c r="I29" s="351" t="s">
        <v>53</v>
      </c>
      <c r="J29" s="351"/>
      <c r="K29" s="351"/>
      <c r="L29" s="351"/>
      <c r="M29" s="351"/>
      <c r="N29" s="207">
        <f>'P y G'!G18</f>
        <v>297601.8071625345</v>
      </c>
      <c r="O29" s="207">
        <f>'P y G'!H18</f>
        <v>297601.8071625345</v>
      </c>
      <c r="P29" s="207">
        <f>'P y G'!I18</f>
        <v>297601.8071625345</v>
      </c>
      <c r="Q29" s="207">
        <f>'P y G'!J18</f>
        <v>297601.8071625345</v>
      </c>
      <c r="R29" s="207">
        <f>'P y G'!K18</f>
        <v>297601.8071625345</v>
      </c>
      <c r="S29" s="207">
        <f>'P y G'!L18</f>
        <v>297601.8071625345</v>
      </c>
      <c r="T29" s="207">
        <f>'P y G'!M18</f>
        <v>297601.8071625345</v>
      </c>
      <c r="U29" s="207">
        <f>'P y G'!N18</f>
        <v>297601.8071625345</v>
      </c>
      <c r="V29" s="207">
        <f>'P y G'!O18</f>
        <v>297601.8071625345</v>
      </c>
      <c r="W29" s="207">
        <f>'P y G'!P18</f>
        <v>297601.8071625345</v>
      </c>
      <c r="X29" s="207">
        <f>'P y G'!Q18</f>
        <v>297601.8071625345</v>
      </c>
      <c r="Y29" s="207">
        <f>'P y G'!R18</f>
        <v>297601.8071625345</v>
      </c>
      <c r="Z29" s="207">
        <f>'P y G'!S18</f>
        <v>297601.8071625345</v>
      </c>
      <c r="AA29" s="207">
        <f>'P y G'!T18</f>
        <v>297601.8071625345</v>
      </c>
      <c r="AB29" s="207">
        <f>'P y G'!U18</f>
        <v>297601.8071625345</v>
      </c>
      <c r="AC29" s="207">
        <f>'P y G'!V18</f>
        <v>297601.8071625345</v>
      </c>
      <c r="AD29" s="207">
        <f>'P y G'!W18</f>
        <v>297601.8071625345</v>
      </c>
      <c r="AE29" s="207">
        <f>'P y G'!X18</f>
        <v>297601.8071625345</v>
      </c>
      <c r="AF29" s="207">
        <f>'P y G'!Y18</f>
        <v>297601.8071625345</v>
      </c>
      <c r="AG29" s="207">
        <f>'P y G'!Z18</f>
        <v>297601.8071625345</v>
      </c>
    </row>
    <row r="30" spans="1:33" x14ac:dyDescent="0.25">
      <c r="A30" s="190"/>
      <c r="C30" s="237">
        <v>-0.1</v>
      </c>
      <c r="D30" s="223" t="s">
        <v>325</v>
      </c>
      <c r="E30" s="237">
        <v>0.1</v>
      </c>
      <c r="F30" s="190"/>
      <c r="H30" s="77">
        <v>118800.00000000001</v>
      </c>
      <c r="I30" s="351" t="s">
        <v>54</v>
      </c>
      <c r="J30" s="351"/>
      <c r="K30" s="351"/>
      <c r="L30" s="351"/>
      <c r="M30" s="351"/>
      <c r="N30" s="207">
        <f>'P y G'!G19</f>
        <v>118800.00000000001</v>
      </c>
      <c r="O30" s="207">
        <f>'P y G'!H19</f>
        <v>118800.00000000001</v>
      </c>
      <c r="P30" s="207">
        <f>'P y G'!I19</f>
        <v>118800.00000000001</v>
      </c>
      <c r="Q30" s="207">
        <f>'P y G'!J19</f>
        <v>118800.00000000001</v>
      </c>
      <c r="R30" s="207">
        <f>'P y G'!K19</f>
        <v>118800.00000000001</v>
      </c>
      <c r="S30" s="207">
        <f>'P y G'!L19</f>
        <v>118800.00000000001</v>
      </c>
      <c r="T30" s="207">
        <f>'P y G'!M19</f>
        <v>118800.00000000001</v>
      </c>
      <c r="U30" s="207">
        <f>'P y G'!N19</f>
        <v>118800.00000000001</v>
      </c>
      <c r="V30" s="207">
        <f>'P y G'!O19</f>
        <v>118800.00000000001</v>
      </c>
      <c r="W30" s="207">
        <f>'P y G'!P19</f>
        <v>118800.00000000001</v>
      </c>
      <c r="X30" s="207">
        <f>'P y G'!Q19</f>
        <v>118800.00000000001</v>
      </c>
      <c r="Y30" s="207">
        <f>'P y G'!R19</f>
        <v>118800.00000000001</v>
      </c>
      <c r="Z30" s="207">
        <f>'P y G'!S19</f>
        <v>118800.00000000001</v>
      </c>
      <c r="AA30" s="207">
        <f>'P y G'!T19</f>
        <v>118800.00000000001</v>
      </c>
      <c r="AB30" s="207">
        <f>'P y G'!U19</f>
        <v>118800.00000000001</v>
      </c>
      <c r="AC30" s="207">
        <f>'P y G'!V19</f>
        <v>118800.00000000001</v>
      </c>
      <c r="AD30" s="207">
        <f>'P y G'!W19</f>
        <v>118800.00000000001</v>
      </c>
      <c r="AE30" s="207">
        <f>'P y G'!X19</f>
        <v>118800.00000000001</v>
      </c>
      <c r="AF30" s="207">
        <f>'P y G'!Y19</f>
        <v>118800.00000000001</v>
      </c>
      <c r="AG30" s="207">
        <f>'P y G'!Z19</f>
        <v>118800.00000000001</v>
      </c>
    </row>
    <row r="31" spans="1:33" x14ac:dyDescent="0.25">
      <c r="A31" s="190"/>
      <c r="B31" s="192" t="s">
        <v>166</v>
      </c>
      <c r="C31" s="245">
        <f>(1-0.1)*$K$9</f>
        <v>0.10754495999999998</v>
      </c>
      <c r="D31" s="245">
        <f>AVERAGE(C31,E31)</f>
        <v>0.11949439999999997</v>
      </c>
      <c r="E31" s="245">
        <f>1.1*$K$9</f>
        <v>0.13144383999999998</v>
      </c>
      <c r="H31" s="77">
        <v>84240.000000000015</v>
      </c>
      <c r="I31" s="351" t="s">
        <v>55</v>
      </c>
      <c r="J31" s="351"/>
      <c r="K31" s="351"/>
      <c r="L31" s="351"/>
      <c r="M31" s="351"/>
      <c r="N31" s="207">
        <f>'P y G'!G20</f>
        <v>84240.000000000015</v>
      </c>
      <c r="O31" s="207">
        <f>'P y G'!H20</f>
        <v>84240.000000000015</v>
      </c>
      <c r="P31" s="207">
        <f>'P y G'!I20</f>
        <v>84240.000000000015</v>
      </c>
      <c r="Q31" s="207">
        <f>'P y G'!J20</f>
        <v>84240.000000000015</v>
      </c>
      <c r="R31" s="207">
        <f>'P y G'!K20</f>
        <v>84240.000000000015</v>
      </c>
      <c r="S31" s="207">
        <f>'P y G'!L20</f>
        <v>84240.000000000015</v>
      </c>
      <c r="T31" s="207">
        <f>'P y G'!M20</f>
        <v>84240.000000000015</v>
      </c>
      <c r="U31" s="207">
        <f>'P y G'!N20</f>
        <v>84240.000000000015</v>
      </c>
      <c r="V31" s="207">
        <f>'P y G'!O20</f>
        <v>84240.000000000015</v>
      </c>
      <c r="W31" s="207">
        <f>'P y G'!P20</f>
        <v>84240.000000000015</v>
      </c>
      <c r="X31" s="207">
        <f>'P y G'!Q20</f>
        <v>84240.000000000015</v>
      </c>
      <c r="Y31" s="207">
        <f>'P y G'!R20</f>
        <v>84240.000000000015</v>
      </c>
      <c r="Z31" s="207">
        <f>'P y G'!S20</f>
        <v>84240.000000000015</v>
      </c>
      <c r="AA31" s="207">
        <f>'P y G'!T20</f>
        <v>84240.000000000015</v>
      </c>
      <c r="AB31" s="207">
        <f>'P y G'!U20</f>
        <v>84240.000000000015</v>
      </c>
      <c r="AC31" s="207">
        <f>'P y G'!V20</f>
        <v>84240.000000000015</v>
      </c>
      <c r="AD31" s="207">
        <f>'P y G'!W20</f>
        <v>84240.000000000015</v>
      </c>
      <c r="AE31" s="207">
        <f>'P y G'!X20</f>
        <v>84240.000000000015</v>
      </c>
      <c r="AF31" s="207">
        <f>'P y G'!Y20</f>
        <v>84240.000000000015</v>
      </c>
      <c r="AG31" s="207">
        <f>'P y G'!Z20</f>
        <v>84240.000000000015</v>
      </c>
    </row>
    <row r="32" spans="1:33" x14ac:dyDescent="0.25">
      <c r="A32" s="190"/>
      <c r="B32" t="s">
        <v>118</v>
      </c>
      <c r="C32" s="221"/>
      <c r="D32" s="221"/>
      <c r="E32" s="221"/>
      <c r="F32" s="190"/>
      <c r="H32" s="77">
        <v>1375593.8071625347</v>
      </c>
      <c r="I32" s="330" t="s">
        <v>226</v>
      </c>
      <c r="J32" s="330"/>
      <c r="K32" s="330"/>
      <c r="L32" s="330"/>
      <c r="M32" s="330"/>
      <c r="N32" s="209">
        <f>'P y G'!G21</f>
        <v>1375593.8071625347</v>
      </c>
      <c r="O32" s="209">
        <f>'P y G'!H21</f>
        <v>1375593.8071625347</v>
      </c>
      <c r="P32" s="209">
        <f>'P y G'!I21</f>
        <v>1375593.8071625347</v>
      </c>
      <c r="Q32" s="209">
        <f>'P y G'!J21</f>
        <v>1375593.8071625347</v>
      </c>
      <c r="R32" s="209">
        <f>'P y G'!K21</f>
        <v>1375593.8071625347</v>
      </c>
      <c r="S32" s="209">
        <f>'P y G'!L21</f>
        <v>1375593.8071625347</v>
      </c>
      <c r="T32" s="209">
        <f>'P y G'!M21</f>
        <v>1375593.8071625347</v>
      </c>
      <c r="U32" s="209">
        <f>'P y G'!N21</f>
        <v>1375593.8071625347</v>
      </c>
      <c r="V32" s="209">
        <f>'P y G'!O21</f>
        <v>1375593.8071625347</v>
      </c>
      <c r="W32" s="209">
        <f>'P y G'!P21</f>
        <v>1375593.8071625347</v>
      </c>
      <c r="X32" s="209">
        <f>'P y G'!Q21</f>
        <v>1375593.8071625347</v>
      </c>
      <c r="Y32" s="209">
        <f>'P y G'!R21</f>
        <v>1375593.8071625347</v>
      </c>
      <c r="Z32" s="209">
        <f>'P y G'!S21</f>
        <v>1375593.8071625347</v>
      </c>
      <c r="AA32" s="209">
        <f>'P y G'!T21</f>
        <v>1375593.8071625347</v>
      </c>
      <c r="AB32" s="209">
        <f>'P y G'!U21</f>
        <v>1375593.8071625347</v>
      </c>
      <c r="AC32" s="209">
        <f>'P y G'!V21</f>
        <v>1375593.8071625347</v>
      </c>
      <c r="AD32" s="209">
        <f>'P y G'!W21</f>
        <v>1375593.8071625347</v>
      </c>
      <c r="AE32" s="209">
        <f>'P y G'!X21</f>
        <v>1375593.8071625347</v>
      </c>
      <c r="AF32" s="209">
        <f>'P y G'!Y21</f>
        <v>1375593.8071625347</v>
      </c>
      <c r="AG32" s="209">
        <f>'P y G'!Z21</f>
        <v>1375593.8071625347</v>
      </c>
    </row>
    <row r="33" spans="1:34" x14ac:dyDescent="0.25">
      <c r="A33" s="190"/>
      <c r="B33" s="190"/>
      <c r="C33" s="190"/>
      <c r="D33" s="190"/>
      <c r="E33" s="190"/>
      <c r="F33" s="190"/>
      <c r="H33" s="77">
        <v>4292020.398062259</v>
      </c>
      <c r="I33" s="336" t="s">
        <v>110</v>
      </c>
      <c r="J33" s="337"/>
      <c r="K33" s="337"/>
      <c r="L33" s="337"/>
      <c r="M33" s="338"/>
      <c r="N33" s="208">
        <f>N18-(N21+N24+N32)</f>
        <v>3084800.7088160617</v>
      </c>
      <c r="O33" s="208">
        <f>O18-(O21+O24+O32)</f>
        <v>4756576.0239397176</v>
      </c>
      <c r="P33" s="208">
        <f t="shared" ref="P33:AG33" si="7">P18-(P21+P24+P32)</f>
        <v>5495740.1555603594</v>
      </c>
      <c r="Q33" s="208">
        <f t="shared" si="7"/>
        <v>6580089.9717168901</v>
      </c>
      <c r="R33" s="208">
        <f t="shared" si="7"/>
        <v>8120715.4008911066</v>
      </c>
      <c r="S33" s="208">
        <f t="shared" si="7"/>
        <v>10288619.719577171</v>
      </c>
      <c r="T33" s="208">
        <f t="shared" si="7"/>
        <v>13346657.414650571</v>
      </c>
      <c r="U33" s="208">
        <f t="shared" si="7"/>
        <v>17702349.757021513</v>
      </c>
      <c r="V33" s="208">
        <f t="shared" si="7"/>
        <v>23996294.813482188</v>
      </c>
      <c r="W33" s="208">
        <f t="shared" si="7"/>
        <v>33252508.743689217</v>
      </c>
      <c r="X33" s="208">
        <f t="shared" si="7"/>
        <v>47138618.929129928</v>
      </c>
      <c r="Y33" s="208">
        <f t="shared" si="7"/>
        <v>68424668.75738202</v>
      </c>
      <c r="Z33" s="208">
        <f t="shared" si="7"/>
        <v>101808016.46806292</v>
      </c>
      <c r="AA33" s="208">
        <f t="shared" si="7"/>
        <v>155426448.71894518</v>
      </c>
      <c r="AB33" s="208">
        <f t="shared" si="7"/>
        <v>243691292.85123998</v>
      </c>
      <c r="AC33" s="208">
        <f t="shared" si="7"/>
        <v>392704702.65145856</v>
      </c>
      <c r="AD33" s="208">
        <f t="shared" si="7"/>
        <v>392736315.72737652</v>
      </c>
      <c r="AE33" s="208">
        <f t="shared" si="7"/>
        <v>392768981.51991838</v>
      </c>
      <c r="AF33" s="208">
        <f t="shared" si="7"/>
        <v>392802734.94896203</v>
      </c>
      <c r="AG33" s="208">
        <f t="shared" si="7"/>
        <v>392837612.08880967</v>
      </c>
    </row>
    <row r="34" spans="1:34" x14ac:dyDescent="0.25">
      <c r="A34" s="193" t="s">
        <v>294</v>
      </c>
      <c r="B34" s="190"/>
      <c r="C34" s="190"/>
      <c r="D34" s="190"/>
      <c r="E34" s="190"/>
      <c r="F34" s="190"/>
      <c r="H34" s="77">
        <v>1287606.1194186776</v>
      </c>
      <c r="I34" s="352" t="s">
        <v>111</v>
      </c>
      <c r="J34" s="352"/>
      <c r="K34" s="352"/>
      <c r="L34" s="352"/>
      <c r="M34" s="352"/>
      <c r="N34" s="207">
        <f>N33*0.3</f>
        <v>925440.21264481847</v>
      </c>
      <c r="O34" s="207">
        <f t="shared" ref="O34:AG34" si="8">O33*0.3</f>
        <v>1426972.8071819153</v>
      </c>
      <c r="P34" s="207">
        <f t="shared" si="8"/>
        <v>1648722.0466681079</v>
      </c>
      <c r="Q34" s="207">
        <f t="shared" si="8"/>
        <v>1974026.9915150669</v>
      </c>
      <c r="R34" s="207">
        <f t="shared" si="8"/>
        <v>2436214.6202673321</v>
      </c>
      <c r="S34" s="207">
        <f t="shared" si="8"/>
        <v>3086585.9158731513</v>
      </c>
      <c r="T34" s="207">
        <f t="shared" si="8"/>
        <v>4003997.2243951708</v>
      </c>
      <c r="U34" s="207">
        <f t="shared" si="8"/>
        <v>5310704.927106454</v>
      </c>
      <c r="V34" s="207">
        <f t="shared" si="8"/>
        <v>7198888.4440446561</v>
      </c>
      <c r="W34" s="207">
        <f t="shared" si="8"/>
        <v>9975752.6231067646</v>
      </c>
      <c r="X34" s="207">
        <f t="shared" si="8"/>
        <v>14141585.678738978</v>
      </c>
      <c r="Y34" s="207">
        <f t="shared" si="8"/>
        <v>20527400.627214607</v>
      </c>
      <c r="Z34" s="207">
        <f t="shared" si="8"/>
        <v>30542404.940418877</v>
      </c>
      <c r="AA34" s="207">
        <f t="shared" si="8"/>
        <v>46627934.615683548</v>
      </c>
      <c r="AB34" s="207">
        <f t="shared" si="8"/>
        <v>73107387.855371997</v>
      </c>
      <c r="AC34" s="207">
        <f t="shared" si="8"/>
        <v>117811410.79543756</v>
      </c>
      <c r="AD34" s="207">
        <f t="shared" si="8"/>
        <v>117820894.71821295</v>
      </c>
      <c r="AE34" s="207">
        <f t="shared" si="8"/>
        <v>117830694.45597552</v>
      </c>
      <c r="AF34" s="207">
        <f t="shared" si="8"/>
        <v>117840820.48468861</v>
      </c>
      <c r="AG34" s="207">
        <f t="shared" si="8"/>
        <v>117851283.6266429</v>
      </c>
    </row>
    <row r="35" spans="1:34" x14ac:dyDescent="0.25">
      <c r="A35" s="190"/>
      <c r="B35" s="314" t="s">
        <v>295</v>
      </c>
      <c r="C35" s="314"/>
      <c r="D35" s="191"/>
      <c r="E35" s="191"/>
      <c r="F35" s="190"/>
      <c r="H35" s="77">
        <v>3004414.2786435811</v>
      </c>
      <c r="I35" s="306" t="s">
        <v>112</v>
      </c>
      <c r="J35" s="306"/>
      <c r="K35" s="306"/>
      <c r="L35" s="306"/>
      <c r="M35" s="306"/>
      <c r="N35" s="257">
        <f>N33-N34</f>
        <v>2159360.4961712435</v>
      </c>
      <c r="O35" s="257">
        <f t="shared" ref="O35:AG35" si="9">O33-O34</f>
        <v>3329603.2167578023</v>
      </c>
      <c r="P35" s="257">
        <f t="shared" si="9"/>
        <v>3847018.1088922517</v>
      </c>
      <c r="Q35" s="257">
        <f t="shared" si="9"/>
        <v>4606062.9802018236</v>
      </c>
      <c r="R35" s="257">
        <f t="shared" si="9"/>
        <v>5684500.780623775</v>
      </c>
      <c r="S35" s="257">
        <f t="shared" si="9"/>
        <v>7202033.8037040196</v>
      </c>
      <c r="T35" s="257">
        <f t="shared" si="9"/>
        <v>9342660.1902553998</v>
      </c>
      <c r="U35" s="257">
        <f t="shared" si="9"/>
        <v>12391644.829915058</v>
      </c>
      <c r="V35" s="257">
        <f t="shared" si="9"/>
        <v>16797406.369437531</v>
      </c>
      <c r="W35" s="257">
        <f t="shared" si="9"/>
        <v>23276756.120582454</v>
      </c>
      <c r="X35" s="257">
        <f t="shared" si="9"/>
        <v>32997033.250390951</v>
      </c>
      <c r="Y35" s="257">
        <f t="shared" si="9"/>
        <v>47897268.13016741</v>
      </c>
      <c r="Z35" s="257">
        <f t="shared" si="9"/>
        <v>71265611.527644038</v>
      </c>
      <c r="AA35" s="257">
        <f t="shared" si="9"/>
        <v>108798514.10326162</v>
      </c>
      <c r="AB35" s="257">
        <f t="shared" si="9"/>
        <v>170583904.99586797</v>
      </c>
      <c r="AC35" s="257">
        <f t="shared" si="9"/>
        <v>274893291.85602099</v>
      </c>
      <c r="AD35" s="257">
        <f t="shared" si="9"/>
        <v>274915421.00916356</v>
      </c>
      <c r="AE35" s="257">
        <f t="shared" si="9"/>
        <v>274938287.06394285</v>
      </c>
      <c r="AF35" s="257">
        <f t="shared" si="9"/>
        <v>274961914.46427345</v>
      </c>
      <c r="AG35" s="257">
        <f t="shared" si="9"/>
        <v>274986328.46216679</v>
      </c>
    </row>
    <row r="36" spans="1:34" x14ac:dyDescent="0.25">
      <c r="A36" s="190"/>
      <c r="B36" s="314"/>
      <c r="C36" s="314"/>
      <c r="D36" s="191"/>
      <c r="E36" s="191"/>
      <c r="F36" s="190"/>
      <c r="H36" s="198"/>
      <c r="I36" s="198"/>
      <c r="J36" s="198"/>
      <c r="K36" s="198"/>
      <c r="L36" s="198"/>
      <c r="M36" s="198"/>
      <c r="N36" s="259">
        <v>3004414.2786435811</v>
      </c>
      <c r="O36" s="259">
        <v>3329603.2167578023</v>
      </c>
      <c r="P36" s="259">
        <v>3847018.1088922517</v>
      </c>
      <c r="Q36" s="259">
        <v>4606062.9802018236</v>
      </c>
      <c r="R36" s="259">
        <v>5684500.780623775</v>
      </c>
      <c r="S36" s="259">
        <v>7202033.8037040196</v>
      </c>
      <c r="T36" s="259">
        <v>9342660.1902553998</v>
      </c>
      <c r="U36" s="259">
        <v>12391644.829915058</v>
      </c>
      <c r="V36" s="259">
        <v>16797406.369437531</v>
      </c>
      <c r="W36" s="259">
        <v>23276756.120582454</v>
      </c>
      <c r="X36" s="259">
        <v>32997033.250390951</v>
      </c>
      <c r="Y36" s="259">
        <v>47897268.13016741</v>
      </c>
      <c r="Z36" s="259">
        <v>71265611.527644038</v>
      </c>
      <c r="AA36" s="259">
        <v>108798514.10326162</v>
      </c>
      <c r="AB36" s="259">
        <v>170583904.99586797</v>
      </c>
      <c r="AC36" s="259">
        <v>274893291.85602099</v>
      </c>
      <c r="AD36" s="259">
        <v>274915421.00916356</v>
      </c>
      <c r="AE36" s="259">
        <v>274938287.06394285</v>
      </c>
      <c r="AF36" s="259">
        <v>274961914.46427345</v>
      </c>
      <c r="AG36" s="259">
        <v>274986328.46216679</v>
      </c>
    </row>
    <row r="37" spans="1:34" x14ac:dyDescent="0.25">
      <c r="A37" s="190"/>
      <c r="B37" s="60"/>
      <c r="C37" s="182"/>
      <c r="D37" s="190"/>
      <c r="E37" s="190"/>
      <c r="F37" s="190"/>
      <c r="H37" s="198"/>
      <c r="I37" s="314" t="s">
        <v>305</v>
      </c>
      <c r="J37" s="314"/>
      <c r="K37" s="314"/>
      <c r="L37" s="314"/>
      <c r="M37" s="198"/>
      <c r="N37" s="198"/>
      <c r="O37" s="198"/>
      <c r="P37" s="198"/>
      <c r="Q37" s="198"/>
      <c r="R37" s="198"/>
      <c r="S37" s="198"/>
      <c r="T37" s="198"/>
      <c r="U37" s="198"/>
      <c r="V37" s="198"/>
      <c r="W37" s="198"/>
      <c r="X37" s="198"/>
      <c r="Y37" s="198"/>
      <c r="Z37" s="198"/>
      <c r="AA37" s="198"/>
      <c r="AB37" s="198"/>
      <c r="AC37" s="198"/>
      <c r="AD37" s="198"/>
      <c r="AE37" s="198"/>
      <c r="AF37" s="190"/>
      <c r="AG37" s="190"/>
    </row>
    <row r="38" spans="1:34" x14ac:dyDescent="0.25">
      <c r="A38" s="190"/>
      <c r="B38" s="190"/>
      <c r="C38" s="190"/>
      <c r="D38" s="190"/>
      <c r="E38" s="190"/>
      <c r="F38" s="190"/>
      <c r="H38" s="198"/>
      <c r="I38" s="314"/>
      <c r="J38" s="314"/>
      <c r="K38" s="314"/>
      <c r="L38" s="314"/>
      <c r="M38" s="198"/>
      <c r="N38" s="198"/>
      <c r="O38" s="198"/>
      <c r="P38" s="198"/>
      <c r="Q38" s="198"/>
      <c r="R38" s="198"/>
      <c r="S38" s="198"/>
      <c r="T38" s="198"/>
      <c r="U38" s="198"/>
      <c r="V38" s="198"/>
      <c r="W38" s="198"/>
      <c r="X38" s="198"/>
      <c r="Y38" s="198"/>
      <c r="Z38" s="198"/>
      <c r="AA38" s="198"/>
      <c r="AB38" s="198"/>
      <c r="AC38" s="198"/>
      <c r="AD38" s="198"/>
      <c r="AE38" s="198"/>
      <c r="AF38" s="190"/>
      <c r="AG38" s="190"/>
    </row>
    <row r="39" spans="1:34" x14ac:dyDescent="0.25">
      <c r="A39" s="190"/>
      <c r="B39" s="190"/>
      <c r="C39" s="196" t="s">
        <v>285</v>
      </c>
      <c r="D39" s="196" t="s">
        <v>291</v>
      </c>
      <c r="E39" s="196" t="s">
        <v>286</v>
      </c>
      <c r="F39" s="190"/>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0"/>
      <c r="AG39" s="190"/>
    </row>
    <row r="40" spans="1:34" s="198" customFormat="1" x14ac:dyDescent="0.25">
      <c r="C40" s="238">
        <v>-0.3</v>
      </c>
      <c r="D40" s="238" t="s">
        <v>325</v>
      </c>
      <c r="E40" s="238">
        <v>0.3</v>
      </c>
      <c r="M40" s="256">
        <v>0</v>
      </c>
      <c r="N40" s="204">
        <v>1</v>
      </c>
      <c r="O40" s="204">
        <v>2</v>
      </c>
      <c r="P40" s="204">
        <v>3</v>
      </c>
      <c r="Q40" s="204">
        <v>4</v>
      </c>
      <c r="R40" s="204">
        <v>5</v>
      </c>
      <c r="S40" s="204">
        <v>6</v>
      </c>
      <c r="T40" s="204">
        <v>7</v>
      </c>
      <c r="U40" s="204">
        <v>8</v>
      </c>
      <c r="V40" s="204">
        <v>9</v>
      </c>
      <c r="W40" s="204">
        <v>10</v>
      </c>
      <c r="X40" s="204">
        <v>11</v>
      </c>
      <c r="Y40" s="204">
        <v>12</v>
      </c>
      <c r="Z40" s="204">
        <v>13</v>
      </c>
      <c r="AA40" s="204">
        <v>14</v>
      </c>
      <c r="AB40" s="204">
        <v>15</v>
      </c>
      <c r="AC40" s="204">
        <v>16</v>
      </c>
      <c r="AD40" s="204">
        <v>17</v>
      </c>
      <c r="AE40" s="204">
        <v>18</v>
      </c>
      <c r="AF40" s="204">
        <v>19</v>
      </c>
      <c r="AG40" s="204">
        <v>20</v>
      </c>
    </row>
    <row r="41" spans="1:34" x14ac:dyDescent="0.25">
      <c r="A41" s="190"/>
      <c r="B41" s="192" t="s">
        <v>295</v>
      </c>
      <c r="C41" s="239">
        <f>(1-0.3)*$K$7</f>
        <v>56992460</v>
      </c>
      <c r="D41" s="239">
        <f>AVERAGE(C41,E41)</f>
        <v>81417800</v>
      </c>
      <c r="E41" s="239">
        <f>1.3*$K$7</f>
        <v>105843140</v>
      </c>
      <c r="F41" s="190"/>
      <c r="H41" s="198"/>
      <c r="K41" s="224"/>
      <c r="L41" s="224"/>
      <c r="M41" s="210" t="s">
        <v>279</v>
      </c>
      <c r="N41" s="210" t="s">
        <v>20</v>
      </c>
      <c r="O41" s="210" t="s">
        <v>21</v>
      </c>
      <c r="P41" s="210" t="s">
        <v>22</v>
      </c>
      <c r="Q41" s="210" t="s">
        <v>23</v>
      </c>
      <c r="R41" s="210" t="s">
        <v>24</v>
      </c>
      <c r="S41" s="210" t="s">
        <v>25</v>
      </c>
      <c r="T41" s="210" t="s">
        <v>26</v>
      </c>
      <c r="U41" s="210" t="s">
        <v>27</v>
      </c>
      <c r="V41" s="210" t="s">
        <v>28</v>
      </c>
      <c r="W41" s="210" t="s">
        <v>29</v>
      </c>
      <c r="X41" s="210" t="s">
        <v>30</v>
      </c>
      <c r="Y41" s="210" t="s">
        <v>31</v>
      </c>
      <c r="Z41" s="210" t="s">
        <v>32</v>
      </c>
      <c r="AA41" s="210" t="s">
        <v>33</v>
      </c>
      <c r="AB41" s="210" t="s">
        <v>34</v>
      </c>
      <c r="AC41" s="210" t="s">
        <v>35</v>
      </c>
      <c r="AD41" s="210" t="s">
        <v>36</v>
      </c>
      <c r="AE41" s="210" t="s">
        <v>37</v>
      </c>
      <c r="AF41" s="210" t="s">
        <v>38</v>
      </c>
      <c r="AG41" s="210" t="s">
        <v>39</v>
      </c>
    </row>
    <row r="42" spans="1:34" ht="15" customHeight="1" x14ac:dyDescent="0.25">
      <c r="A42" s="190"/>
      <c r="B42" s="190"/>
      <c r="C42" s="190"/>
      <c r="D42" s="190"/>
      <c r="E42" s="190"/>
      <c r="F42" s="190"/>
      <c r="H42" s="198"/>
      <c r="K42" s="412" t="s">
        <v>173</v>
      </c>
      <c r="L42" s="413"/>
      <c r="M42" s="211"/>
      <c r="N42" s="212"/>
      <c r="O42" s="212"/>
      <c r="P42" s="212"/>
      <c r="Q42" s="212"/>
      <c r="R42" s="212"/>
      <c r="S42" s="212"/>
      <c r="T42" s="212"/>
      <c r="U42" s="212"/>
      <c r="V42" s="212"/>
      <c r="W42" s="212"/>
      <c r="X42" s="212"/>
      <c r="Y42" s="212"/>
      <c r="Z42" s="212"/>
      <c r="AA42" s="212"/>
      <c r="AB42" s="212"/>
      <c r="AC42" s="212"/>
      <c r="AD42" s="212"/>
      <c r="AE42" s="212"/>
      <c r="AF42" s="212"/>
      <c r="AG42" s="212"/>
    </row>
    <row r="43" spans="1:34" ht="15" customHeight="1" x14ac:dyDescent="0.25">
      <c r="A43" s="190"/>
      <c r="B43" s="190"/>
      <c r="C43" s="190"/>
      <c r="D43" s="190"/>
      <c r="E43" s="190"/>
      <c r="F43" s="190"/>
      <c r="H43" s="198"/>
      <c r="K43" s="418" t="s">
        <v>172</v>
      </c>
      <c r="L43" s="419"/>
      <c r="M43" s="214"/>
      <c r="N43" s="205">
        <f>N35</f>
        <v>2159360.4961712435</v>
      </c>
      <c r="O43" s="205">
        <f t="shared" ref="O43:AG43" si="10">O35</f>
        <v>3329603.2167578023</v>
      </c>
      <c r="P43" s="205">
        <f t="shared" si="10"/>
        <v>3847018.1088922517</v>
      </c>
      <c r="Q43" s="205">
        <f t="shared" si="10"/>
        <v>4606062.9802018236</v>
      </c>
      <c r="R43" s="205">
        <f t="shared" si="10"/>
        <v>5684500.780623775</v>
      </c>
      <c r="S43" s="205">
        <f t="shared" si="10"/>
        <v>7202033.8037040196</v>
      </c>
      <c r="T43" s="205">
        <f t="shared" si="10"/>
        <v>9342660.1902553998</v>
      </c>
      <c r="U43" s="205">
        <f t="shared" si="10"/>
        <v>12391644.829915058</v>
      </c>
      <c r="V43" s="205">
        <f t="shared" si="10"/>
        <v>16797406.369437531</v>
      </c>
      <c r="W43" s="205">
        <f t="shared" si="10"/>
        <v>23276756.120582454</v>
      </c>
      <c r="X43" s="205">
        <f t="shared" si="10"/>
        <v>32997033.250390951</v>
      </c>
      <c r="Y43" s="205">
        <f t="shared" si="10"/>
        <v>47897268.13016741</v>
      </c>
      <c r="Z43" s="205">
        <f t="shared" si="10"/>
        <v>71265611.527644038</v>
      </c>
      <c r="AA43" s="205">
        <f t="shared" si="10"/>
        <v>108798514.10326162</v>
      </c>
      <c r="AB43" s="205">
        <f t="shared" si="10"/>
        <v>170583904.99586797</v>
      </c>
      <c r="AC43" s="205">
        <f t="shared" si="10"/>
        <v>274893291.85602099</v>
      </c>
      <c r="AD43" s="205">
        <f t="shared" si="10"/>
        <v>274915421.00916356</v>
      </c>
      <c r="AE43" s="205">
        <f t="shared" si="10"/>
        <v>274938287.06394285</v>
      </c>
      <c r="AF43" s="205">
        <f t="shared" si="10"/>
        <v>274961914.46427345</v>
      </c>
      <c r="AG43" s="205">
        <f t="shared" si="10"/>
        <v>274986328.46216679</v>
      </c>
    </row>
    <row r="44" spans="1:34" ht="15" customHeight="1" x14ac:dyDescent="0.25">
      <c r="A44" s="190"/>
      <c r="B44" s="190"/>
      <c r="C44" s="190"/>
      <c r="D44" s="190"/>
      <c r="E44" s="190"/>
      <c r="F44" s="190"/>
      <c r="H44" s="198"/>
      <c r="K44" s="418" t="s">
        <v>171</v>
      </c>
      <c r="L44" s="419"/>
      <c r="M44" s="214"/>
      <c r="N44" s="205">
        <f>N32</f>
        <v>1375593.8071625347</v>
      </c>
      <c r="O44" s="205">
        <f t="shared" ref="O44:AG44" si="11">O32</f>
        <v>1375593.8071625347</v>
      </c>
      <c r="P44" s="205">
        <f t="shared" si="11"/>
        <v>1375593.8071625347</v>
      </c>
      <c r="Q44" s="205">
        <f t="shared" si="11"/>
        <v>1375593.8071625347</v>
      </c>
      <c r="R44" s="205">
        <f t="shared" si="11"/>
        <v>1375593.8071625347</v>
      </c>
      <c r="S44" s="205">
        <f t="shared" si="11"/>
        <v>1375593.8071625347</v>
      </c>
      <c r="T44" s="205">
        <f t="shared" si="11"/>
        <v>1375593.8071625347</v>
      </c>
      <c r="U44" s="205">
        <f t="shared" si="11"/>
        <v>1375593.8071625347</v>
      </c>
      <c r="V44" s="205">
        <f t="shared" si="11"/>
        <v>1375593.8071625347</v>
      </c>
      <c r="W44" s="205">
        <f t="shared" si="11"/>
        <v>1375593.8071625347</v>
      </c>
      <c r="X44" s="205">
        <f t="shared" si="11"/>
        <v>1375593.8071625347</v>
      </c>
      <c r="Y44" s="205">
        <f t="shared" si="11"/>
        <v>1375593.8071625347</v>
      </c>
      <c r="Z44" s="205">
        <f t="shared" si="11"/>
        <v>1375593.8071625347</v>
      </c>
      <c r="AA44" s="205">
        <f t="shared" si="11"/>
        <v>1375593.8071625347</v>
      </c>
      <c r="AB44" s="205">
        <f t="shared" si="11"/>
        <v>1375593.8071625347</v>
      </c>
      <c r="AC44" s="205">
        <f t="shared" si="11"/>
        <v>1375593.8071625347</v>
      </c>
      <c r="AD44" s="205">
        <f t="shared" si="11"/>
        <v>1375593.8071625347</v>
      </c>
      <c r="AE44" s="205">
        <f t="shared" si="11"/>
        <v>1375593.8071625347</v>
      </c>
      <c r="AF44" s="205">
        <f t="shared" si="11"/>
        <v>1375593.8071625347</v>
      </c>
      <c r="AG44" s="205">
        <f t="shared" si="11"/>
        <v>1375593.8071625347</v>
      </c>
    </row>
    <row r="45" spans="1:34" ht="15" customHeight="1" x14ac:dyDescent="0.25">
      <c r="A45" s="193" t="s">
        <v>296</v>
      </c>
      <c r="B45" s="190"/>
      <c r="C45" s="190"/>
      <c r="D45" s="190"/>
      <c r="E45" s="190"/>
      <c r="F45" s="190"/>
      <c r="H45" s="198"/>
      <c r="K45" s="414" t="s">
        <v>170</v>
      </c>
      <c r="L45" s="415"/>
      <c r="M45" s="214"/>
      <c r="N45" s="205"/>
      <c r="O45" s="205"/>
      <c r="P45" s="205"/>
      <c r="Q45" s="205"/>
      <c r="R45" s="205"/>
      <c r="S45" s="205"/>
      <c r="T45" s="205"/>
      <c r="U45" s="205"/>
      <c r="V45" s="205"/>
      <c r="W45" s="205"/>
      <c r="X45" s="205"/>
      <c r="Y45" s="205"/>
      <c r="Z45" s="205"/>
      <c r="AA45" s="205"/>
      <c r="AB45" s="205"/>
      <c r="AC45" s="205"/>
      <c r="AD45" s="205"/>
      <c r="AE45" s="205"/>
      <c r="AF45" s="205"/>
      <c r="AG45" s="205"/>
    </row>
    <row r="46" spans="1:34" x14ac:dyDescent="0.25">
      <c r="A46" s="190"/>
      <c r="B46" s="314" t="s">
        <v>297</v>
      </c>
      <c r="C46" s="314"/>
      <c r="D46" s="191"/>
      <c r="E46" s="191"/>
      <c r="F46" s="190"/>
      <c r="H46" s="198"/>
      <c r="K46" s="418" t="s">
        <v>169</v>
      </c>
      <c r="L46" s="419"/>
      <c r="M46" s="214">
        <f>N8</f>
        <v>38856824.973953441</v>
      </c>
      <c r="N46" s="205"/>
      <c r="O46" s="205"/>
      <c r="P46" s="205"/>
      <c r="Q46" s="205"/>
      <c r="R46" s="205"/>
      <c r="S46" s="205"/>
      <c r="T46" s="205"/>
      <c r="U46" s="205"/>
      <c r="V46" s="205"/>
      <c r="W46" s="205"/>
      <c r="X46" s="205"/>
      <c r="Y46" s="205"/>
      <c r="Z46" s="205"/>
      <c r="AA46" s="205"/>
      <c r="AB46" s="205"/>
      <c r="AC46" s="205"/>
      <c r="AD46" s="205"/>
      <c r="AE46" s="205"/>
      <c r="AF46" s="205"/>
      <c r="AG46" s="205"/>
    </row>
    <row r="47" spans="1:34" ht="15" customHeight="1" x14ac:dyDescent="0.25">
      <c r="A47" s="190"/>
      <c r="B47" s="314"/>
      <c r="C47" s="314"/>
      <c r="D47" s="191"/>
      <c r="E47" s="191"/>
      <c r="F47" s="190"/>
      <c r="H47" s="198"/>
      <c r="K47" s="420" t="s">
        <v>168</v>
      </c>
      <c r="L47" s="421"/>
      <c r="M47" s="214"/>
      <c r="N47" s="205"/>
      <c r="O47" s="205"/>
      <c r="P47" s="205"/>
      <c r="Q47" s="205"/>
      <c r="R47" s="205"/>
      <c r="S47" s="205"/>
      <c r="T47" s="205"/>
      <c r="U47" s="205"/>
      <c r="V47" s="205"/>
      <c r="W47" s="205"/>
      <c r="X47" s="205"/>
      <c r="Y47" s="205"/>
      <c r="Z47" s="205"/>
      <c r="AA47" s="205"/>
      <c r="AB47" s="205"/>
      <c r="AC47" s="205"/>
      <c r="AD47" s="205"/>
      <c r="AE47" s="205"/>
      <c r="AF47" s="205"/>
      <c r="AG47" s="205">
        <f>'Cap. de Trab.'!D14</f>
        <v>3745644.2577</v>
      </c>
      <c r="AH47" s="198"/>
    </row>
    <row r="48" spans="1:34" x14ac:dyDescent="0.25">
      <c r="A48" s="190"/>
      <c r="B48" s="60"/>
      <c r="C48" s="182"/>
      <c r="D48" s="190"/>
      <c r="E48" s="190"/>
      <c r="F48" s="190"/>
      <c r="H48" s="198"/>
      <c r="K48" s="414" t="s">
        <v>270</v>
      </c>
      <c r="L48" s="415"/>
      <c r="M48" s="214"/>
      <c r="N48" s="205"/>
      <c r="O48" s="205"/>
      <c r="P48" s="205"/>
      <c r="Q48" s="205"/>
      <c r="R48" s="205"/>
      <c r="S48" s="205"/>
      <c r="T48" s="205"/>
      <c r="U48" s="205"/>
      <c r="V48" s="205"/>
      <c r="W48" s="205"/>
      <c r="X48" s="205"/>
      <c r="Y48" s="205"/>
      <c r="Z48" s="205"/>
      <c r="AA48" s="205"/>
      <c r="AB48" s="205"/>
      <c r="AC48" s="205"/>
      <c r="AD48" s="205"/>
      <c r="AE48" s="205"/>
      <c r="AF48" s="205"/>
      <c r="AG48" s="205">
        <f>'Inv. y Dep.'!F54</f>
        <v>2940315.592286502</v>
      </c>
      <c r="AH48" s="198"/>
    </row>
    <row r="49" spans="1:34" ht="15" customHeight="1" x14ac:dyDescent="0.25">
      <c r="A49" s="190"/>
      <c r="B49" s="190"/>
      <c r="C49" s="190"/>
      <c r="D49" s="190"/>
      <c r="E49" s="190"/>
      <c r="F49" s="190"/>
      <c r="H49" s="198"/>
      <c r="K49" s="416" t="s">
        <v>185</v>
      </c>
      <c r="L49" s="417"/>
      <c r="M49" s="258">
        <f>-M46</f>
        <v>-38856824.973953441</v>
      </c>
      <c r="N49" s="257">
        <f t="shared" ref="N49:AG49" si="12">SUM(N43:N48)</f>
        <v>3534954.3033337779</v>
      </c>
      <c r="O49" s="257">
        <f t="shared" si="12"/>
        <v>4705197.0239203367</v>
      </c>
      <c r="P49" s="257">
        <f t="shared" si="12"/>
        <v>5222611.9160547862</v>
      </c>
      <c r="Q49" s="257">
        <f t="shared" si="12"/>
        <v>5981656.7873643581</v>
      </c>
      <c r="R49" s="257">
        <f t="shared" si="12"/>
        <v>7060094.5877863094</v>
      </c>
      <c r="S49" s="257">
        <f t="shared" si="12"/>
        <v>8577627.6108665541</v>
      </c>
      <c r="T49" s="257">
        <f t="shared" si="12"/>
        <v>10718253.997417934</v>
      </c>
      <c r="U49" s="257">
        <f t="shared" si="12"/>
        <v>13767238.637077592</v>
      </c>
      <c r="V49" s="257">
        <f t="shared" si="12"/>
        <v>18173000.176600065</v>
      </c>
      <c r="W49" s="257">
        <f t="shared" si="12"/>
        <v>24652349.927744988</v>
      </c>
      <c r="X49" s="257">
        <f t="shared" si="12"/>
        <v>34372627.057553485</v>
      </c>
      <c r="Y49" s="257">
        <f t="shared" si="12"/>
        <v>49272861.937329948</v>
      </c>
      <c r="Z49" s="257">
        <f t="shared" si="12"/>
        <v>72641205.334806576</v>
      </c>
      <c r="AA49" s="257">
        <f t="shared" si="12"/>
        <v>110174107.91042416</v>
      </c>
      <c r="AB49" s="257">
        <f t="shared" si="12"/>
        <v>171959498.80303049</v>
      </c>
      <c r="AC49" s="257">
        <f t="shared" si="12"/>
        <v>276268885.66318351</v>
      </c>
      <c r="AD49" s="257">
        <f t="shared" si="12"/>
        <v>276291014.81632608</v>
      </c>
      <c r="AE49" s="257">
        <f t="shared" si="12"/>
        <v>276313880.87110537</v>
      </c>
      <c r="AF49" s="257">
        <f t="shared" si="12"/>
        <v>276337508.27143598</v>
      </c>
      <c r="AG49" s="257">
        <f t="shared" si="12"/>
        <v>283047882.11931586</v>
      </c>
    </row>
    <row r="50" spans="1:34" x14ac:dyDescent="0.25">
      <c r="A50" s="190"/>
      <c r="B50" s="190"/>
      <c r="C50" s="196" t="s">
        <v>285</v>
      </c>
      <c r="D50" s="196" t="s">
        <v>291</v>
      </c>
      <c r="E50" s="196" t="s">
        <v>286</v>
      </c>
      <c r="F50" s="190"/>
      <c r="H50" s="198"/>
      <c r="L50" s="198"/>
      <c r="M50" s="259">
        <v>-38856824.973953441</v>
      </c>
      <c r="N50" s="259">
        <v>4380008.0858061155</v>
      </c>
      <c r="O50" s="259">
        <v>4705197.0239203367</v>
      </c>
      <c r="P50" s="259">
        <v>5222611.9160547862</v>
      </c>
      <c r="Q50" s="259">
        <v>5981656.7873643581</v>
      </c>
      <c r="R50" s="259">
        <v>7060094.5877863094</v>
      </c>
      <c r="S50" s="259">
        <v>8577627.6108665541</v>
      </c>
      <c r="T50" s="259">
        <v>10718253.997417934</v>
      </c>
      <c r="U50" s="259">
        <v>13767238.637077592</v>
      </c>
      <c r="V50" s="259">
        <v>18173000.176600065</v>
      </c>
      <c r="W50" s="259">
        <v>24652349.927744988</v>
      </c>
      <c r="X50" s="259">
        <v>34372627.057553485</v>
      </c>
      <c r="Y50" s="259">
        <v>49272861.937329948</v>
      </c>
      <c r="Z50" s="259">
        <v>72641205.334806576</v>
      </c>
      <c r="AA50" s="259">
        <v>110174107.91042416</v>
      </c>
      <c r="AB50" s="259">
        <v>171959498.80303049</v>
      </c>
      <c r="AC50" s="259">
        <v>276268885.66318351</v>
      </c>
      <c r="AD50" s="259">
        <v>276291014.81632608</v>
      </c>
      <c r="AE50" s="259">
        <v>276313880.87110537</v>
      </c>
      <c r="AF50" s="259">
        <v>276337508.27143598</v>
      </c>
      <c r="AG50" s="259">
        <v>283047882.11931586</v>
      </c>
      <c r="AH50" s="198"/>
    </row>
    <row r="51" spans="1:34" x14ac:dyDescent="0.25">
      <c r="A51" s="190"/>
      <c r="C51" s="237">
        <v>-0.1</v>
      </c>
      <c r="D51" s="223" t="s">
        <v>325</v>
      </c>
      <c r="E51" s="237">
        <v>0.1</v>
      </c>
      <c r="F51" s="190"/>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0"/>
      <c r="AG51" s="190"/>
    </row>
    <row r="52" spans="1:34" x14ac:dyDescent="0.25">
      <c r="B52" s="192" t="s">
        <v>303</v>
      </c>
      <c r="C52" s="239">
        <f>(1-0.1)*$K$8</f>
        <v>34971142.476558097</v>
      </c>
      <c r="D52" s="239">
        <f>AVERAGE(C52,E52)</f>
        <v>38856824.973953441</v>
      </c>
      <c r="E52" s="239">
        <f>1.1*$K$8</f>
        <v>42742507.471348785</v>
      </c>
    </row>
    <row r="54" spans="1:34" x14ac:dyDescent="0.25">
      <c r="L54" s="86" t="s">
        <v>166</v>
      </c>
      <c r="M54" s="51">
        <f>N9</f>
        <v>0.11949439999999997</v>
      </c>
      <c r="O54" s="73"/>
      <c r="P54" s="71"/>
    </row>
    <row r="55" spans="1:34" x14ac:dyDescent="0.25">
      <c r="L55" s="192" t="s">
        <v>275</v>
      </c>
      <c r="M55" s="260">
        <f>NPV(M54,'CRYSTAL BALL'!N49:AG49)+M49</f>
        <v>286801942.07030618</v>
      </c>
      <c r="O55" s="73"/>
      <c r="P55" s="25"/>
    </row>
    <row r="56" spans="1:34" x14ac:dyDescent="0.25">
      <c r="L56" s="192" t="s">
        <v>276</v>
      </c>
      <c r="M56" s="261">
        <f>IRR(M49:AG49)</f>
        <v>0.32190174001088367</v>
      </c>
      <c r="O56" s="73"/>
      <c r="P56" s="25"/>
    </row>
    <row r="57" spans="1:34" x14ac:dyDescent="0.25">
      <c r="O57" s="25"/>
      <c r="P57" s="25"/>
    </row>
  </sheetData>
  <mergeCells count="34">
    <mergeCell ref="I34:M34"/>
    <mergeCell ref="I35:M35"/>
    <mergeCell ref="I24:M24"/>
    <mergeCell ref="I22:M22"/>
    <mergeCell ref="I23:M23"/>
    <mergeCell ref="I17:M17"/>
    <mergeCell ref="I30:M30"/>
    <mergeCell ref="I32:M32"/>
    <mergeCell ref="I33:M33"/>
    <mergeCell ref="I29:M29"/>
    <mergeCell ref="I19:M19"/>
    <mergeCell ref="I20:M20"/>
    <mergeCell ref="I18:M18"/>
    <mergeCell ref="I14:L15"/>
    <mergeCell ref="I37:L38"/>
    <mergeCell ref="K42:L42"/>
    <mergeCell ref="K48:L48"/>
    <mergeCell ref="K49:L49"/>
    <mergeCell ref="I31:M31"/>
    <mergeCell ref="I28:M28"/>
    <mergeCell ref="K45:L45"/>
    <mergeCell ref="K46:L46"/>
    <mergeCell ref="K47:L47"/>
    <mergeCell ref="I25:M25"/>
    <mergeCell ref="I26:M26"/>
    <mergeCell ref="I27:M27"/>
    <mergeCell ref="I21:M21"/>
    <mergeCell ref="K43:L43"/>
    <mergeCell ref="K44:L44"/>
    <mergeCell ref="B35:C36"/>
    <mergeCell ref="B46:C47"/>
    <mergeCell ref="B4:C5"/>
    <mergeCell ref="B16:C17"/>
    <mergeCell ref="B25:C26"/>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57"/>
  <sheetViews>
    <sheetView zoomScale="70" zoomScaleNormal="70" workbookViewId="0">
      <selection activeCell="C24" sqref="C24"/>
    </sheetView>
  </sheetViews>
  <sheetFormatPr baseColWidth="10" defaultRowHeight="15" x14ac:dyDescent="0.25"/>
  <cols>
    <col min="2" max="2" width="51.140625" bestFit="1" customWidth="1"/>
    <col min="3" max="3" width="13" bestFit="1" customWidth="1"/>
    <col min="4" max="4" width="14.5703125" bestFit="1" customWidth="1"/>
    <col min="5" max="5" width="20.28515625" bestFit="1" customWidth="1"/>
    <col min="6" max="6" width="14" customWidth="1"/>
    <col min="7" max="9" width="14.5703125" bestFit="1" customWidth="1"/>
    <col min="10" max="10" width="19.28515625" bestFit="1" customWidth="1"/>
    <col min="11" max="24" width="14.5703125" bestFit="1" customWidth="1"/>
  </cols>
  <sheetData>
    <row r="2" spans="1:24" x14ac:dyDescent="0.25">
      <c r="B2" s="329" t="s">
        <v>201</v>
      </c>
      <c r="C2" s="329"/>
      <c r="D2" s="329"/>
      <c r="E2" s="329"/>
      <c r="F2" s="329"/>
      <c r="G2" s="329"/>
      <c r="H2" s="329"/>
      <c r="I2" s="329"/>
      <c r="J2" s="329"/>
      <c r="K2" s="329"/>
    </row>
    <row r="3" spans="1:24" x14ac:dyDescent="0.25">
      <c r="B3" s="329"/>
      <c r="C3" s="329"/>
      <c r="D3" s="329"/>
      <c r="E3" s="329"/>
      <c r="F3" s="329"/>
      <c r="G3" s="329"/>
      <c r="H3" s="329"/>
      <c r="I3" s="329"/>
      <c r="J3" s="329"/>
      <c r="K3" s="329"/>
      <c r="N3" s="328" t="s">
        <v>48</v>
      </c>
      <c r="O3" s="328"/>
      <c r="P3" s="328"/>
      <c r="Q3" s="328"/>
      <c r="R3" s="328"/>
      <c r="S3" s="328"/>
    </row>
    <row r="4" spans="1:24" x14ac:dyDescent="0.25">
      <c r="B4" s="329"/>
      <c r="C4" s="329"/>
      <c r="D4" s="329"/>
      <c r="E4" s="329"/>
      <c r="F4" s="329"/>
      <c r="G4" s="329"/>
      <c r="H4" s="329"/>
      <c r="I4" s="329"/>
      <c r="J4" s="329"/>
      <c r="K4" s="329"/>
      <c r="N4" s="328"/>
      <c r="O4" s="328"/>
      <c r="P4" s="328"/>
      <c r="Q4" s="328"/>
      <c r="R4" s="328"/>
      <c r="S4" s="328"/>
    </row>
    <row r="5" spans="1:24" x14ac:dyDescent="0.25">
      <c r="B5" s="329"/>
      <c r="C5" s="329"/>
      <c r="D5" s="329"/>
      <c r="E5" s="329"/>
      <c r="F5" s="329"/>
      <c r="G5" s="329"/>
      <c r="H5" s="329"/>
      <c r="I5" s="329"/>
      <c r="J5" s="329"/>
      <c r="K5" s="329"/>
    </row>
    <row r="9" spans="1:24" x14ac:dyDescent="0.25">
      <c r="A9" s="306" t="s">
        <v>44</v>
      </c>
      <c r="B9" s="306"/>
      <c r="C9" s="306"/>
      <c r="D9" s="82" t="s">
        <v>20</v>
      </c>
      <c r="E9" s="82" t="s">
        <v>21</v>
      </c>
      <c r="F9" s="82" t="s">
        <v>22</v>
      </c>
      <c r="G9" s="82" t="s">
        <v>23</v>
      </c>
      <c r="H9" s="82" t="s">
        <v>24</v>
      </c>
      <c r="I9" s="82" t="s">
        <v>25</v>
      </c>
      <c r="J9" s="82" t="s">
        <v>26</v>
      </c>
      <c r="K9" s="82" t="s">
        <v>27</v>
      </c>
      <c r="L9" s="82" t="s">
        <v>28</v>
      </c>
      <c r="M9" s="82" t="s">
        <v>29</v>
      </c>
      <c r="N9" s="82" t="s">
        <v>30</v>
      </c>
      <c r="O9" s="82" t="s">
        <v>31</v>
      </c>
      <c r="P9" s="82" t="s">
        <v>32</v>
      </c>
      <c r="Q9" s="82" t="s">
        <v>33</v>
      </c>
      <c r="R9" s="82" t="s">
        <v>34</v>
      </c>
      <c r="S9" s="82" t="s">
        <v>35</v>
      </c>
      <c r="T9" s="82" t="s">
        <v>36</v>
      </c>
      <c r="U9" s="82" t="s">
        <v>37</v>
      </c>
      <c r="V9" s="82" t="s">
        <v>38</v>
      </c>
      <c r="W9" s="176" t="s">
        <v>39</v>
      </c>
      <c r="X9" s="179"/>
    </row>
    <row r="10" spans="1:24" x14ac:dyDescent="0.25">
      <c r="A10" s="330" t="s">
        <v>45</v>
      </c>
      <c r="B10" s="330"/>
      <c r="C10" s="330"/>
      <c r="D10" s="117">
        <f>C21*Ingresos!$F$18</f>
        <v>439656.12000000005</v>
      </c>
      <c r="E10" s="117">
        <f>E13*Ingresos!$F$18</f>
        <v>452845.80360000004</v>
      </c>
      <c r="F10" s="117">
        <f>F13*Ingresos!$F$18</f>
        <v>466431.177708</v>
      </c>
      <c r="G10" s="117">
        <f>G13*Ingresos!$F$18</f>
        <v>480424.11303924001</v>
      </c>
      <c r="H10" s="117">
        <f>H13*Ingresos!$F$18</f>
        <v>494836.8364304172</v>
      </c>
      <c r="I10" s="117">
        <f>I13*Ingresos!$F$18</f>
        <v>509681.94152332976</v>
      </c>
      <c r="J10" s="117">
        <f>J13*Ingresos!$F$18</f>
        <v>524972.3997690297</v>
      </c>
      <c r="K10" s="117">
        <f>K13*Ingresos!$F$18</f>
        <v>540721.57176210056</v>
      </c>
      <c r="L10" s="117">
        <f>L13*Ingresos!$F$18</f>
        <v>556943.21891496365</v>
      </c>
      <c r="M10" s="117">
        <f>M13*Ingresos!$F$18</f>
        <v>573651.51548241253</v>
      </c>
      <c r="N10" s="117">
        <f>N13*Ingresos!$F$18</f>
        <v>590861.06094688491</v>
      </c>
      <c r="O10" s="117">
        <f>O13*Ingresos!$F$18</f>
        <v>608586.89277529146</v>
      </c>
      <c r="P10" s="117">
        <f>P13*Ingresos!$F$18</f>
        <v>626844.49955855031</v>
      </c>
      <c r="Q10" s="117">
        <f>Q13*Ingresos!$F$18</f>
        <v>645649.83454530674</v>
      </c>
      <c r="R10" s="117">
        <f>R13*Ingresos!$F$18</f>
        <v>665019.32958166604</v>
      </c>
      <c r="S10" s="117">
        <f>S13*Ingresos!$F$18</f>
        <v>684969.90946911601</v>
      </c>
      <c r="T10" s="117">
        <f>T13*Ingresos!$F$18</f>
        <v>705519.00675318949</v>
      </c>
      <c r="U10" s="117">
        <f>U13*Ingresos!$F$18</f>
        <v>726684.57695578528</v>
      </c>
      <c r="V10" s="117">
        <f>V13*Ingresos!$F$18</f>
        <v>748485.11426445877</v>
      </c>
      <c r="W10" s="177">
        <f>W13*Ingresos!$F$18</f>
        <v>770939.6676923926</v>
      </c>
      <c r="X10" s="180"/>
    </row>
    <row r="11" spans="1:24" x14ac:dyDescent="0.25">
      <c r="A11" s="330" t="s">
        <v>46</v>
      </c>
      <c r="B11" s="330"/>
      <c r="C11" s="330"/>
      <c r="D11" s="117">
        <v>1488009.0358126725</v>
      </c>
      <c r="E11" s="117">
        <v>1488009.0358126725</v>
      </c>
      <c r="F11" s="117">
        <v>1488009.0358126725</v>
      </c>
      <c r="G11" s="117">
        <v>1488009.0358126725</v>
      </c>
      <c r="H11" s="117">
        <v>1488009.0358126725</v>
      </c>
      <c r="I11" s="117">
        <v>1488009.0358126725</v>
      </c>
      <c r="J11" s="117">
        <v>1488009.0358126725</v>
      </c>
      <c r="K11" s="117">
        <v>1488009.0358126725</v>
      </c>
      <c r="L11" s="117">
        <v>1488009.0358126725</v>
      </c>
      <c r="M11" s="117">
        <v>1488009.0358126725</v>
      </c>
      <c r="N11" s="117">
        <v>1488009.0358126725</v>
      </c>
      <c r="O11" s="117">
        <v>1488009.0358126725</v>
      </c>
      <c r="P11" s="117">
        <v>1488009.0358126725</v>
      </c>
      <c r="Q11" s="117">
        <v>1488009.0358126725</v>
      </c>
      <c r="R11" s="117">
        <v>1488009.0358126725</v>
      </c>
      <c r="S11" s="117">
        <v>1488009.0358126725</v>
      </c>
      <c r="T11" s="117">
        <v>1488009.0358126725</v>
      </c>
      <c r="U11" s="117">
        <v>1488009.0358126725</v>
      </c>
      <c r="V11" s="117">
        <v>1488009.0358126725</v>
      </c>
      <c r="W11" s="177">
        <v>1488009.0358126725</v>
      </c>
      <c r="X11" s="180"/>
    </row>
    <row r="12" spans="1:24" x14ac:dyDescent="0.25">
      <c r="A12" s="306" t="s">
        <v>43</v>
      </c>
      <c r="B12" s="306"/>
      <c r="C12" s="306"/>
      <c r="D12" s="118">
        <f>D10+D11</f>
        <v>1927665.1558126726</v>
      </c>
      <c r="E12" s="118">
        <f t="shared" ref="E12:W12" si="0">E10+E11</f>
        <v>1940854.8394126724</v>
      </c>
      <c r="F12" s="118">
        <f t="shared" si="0"/>
        <v>1954440.2135206724</v>
      </c>
      <c r="G12" s="118">
        <f t="shared" si="0"/>
        <v>1968433.1488519125</v>
      </c>
      <c r="H12" s="118">
        <f t="shared" si="0"/>
        <v>1982845.8722430896</v>
      </c>
      <c r="I12" s="118">
        <f t="shared" si="0"/>
        <v>1997690.9773360023</v>
      </c>
      <c r="J12" s="118">
        <f t="shared" si="0"/>
        <v>2012981.4355817023</v>
      </c>
      <c r="K12" s="118">
        <f t="shared" si="0"/>
        <v>2028730.607574773</v>
      </c>
      <c r="L12" s="118">
        <f t="shared" si="0"/>
        <v>2044952.254727636</v>
      </c>
      <c r="M12" s="118">
        <f t="shared" si="0"/>
        <v>2061660.5512950849</v>
      </c>
      <c r="N12" s="118">
        <f t="shared" si="0"/>
        <v>2078870.0967595573</v>
      </c>
      <c r="O12" s="118">
        <f t="shared" si="0"/>
        <v>2096595.9285879638</v>
      </c>
      <c r="P12" s="118">
        <f t="shared" si="0"/>
        <v>2114853.5353712225</v>
      </c>
      <c r="Q12" s="118">
        <f t="shared" si="0"/>
        <v>2133658.8703579791</v>
      </c>
      <c r="R12" s="118">
        <f t="shared" si="0"/>
        <v>2153028.3653943385</v>
      </c>
      <c r="S12" s="118">
        <f t="shared" si="0"/>
        <v>2172978.9452817887</v>
      </c>
      <c r="T12" s="118">
        <f t="shared" si="0"/>
        <v>2193528.0425658617</v>
      </c>
      <c r="U12" s="118">
        <f t="shared" si="0"/>
        <v>2214693.6127684577</v>
      </c>
      <c r="V12" s="118">
        <f t="shared" si="0"/>
        <v>2236494.1500771311</v>
      </c>
      <c r="W12" s="178">
        <f t="shared" si="0"/>
        <v>2258948.7035050653</v>
      </c>
      <c r="X12" s="181"/>
    </row>
    <row r="13" spans="1:24" x14ac:dyDescent="0.25">
      <c r="D13">
        <v>5.4</v>
      </c>
      <c r="E13" s="18">
        <v>5.5620000000000003</v>
      </c>
      <c r="F13" s="18">
        <v>5.7288600000000001</v>
      </c>
      <c r="G13" s="18">
        <v>5.9007258</v>
      </c>
      <c r="H13" s="18">
        <v>6.077747574</v>
      </c>
      <c r="I13" s="18">
        <v>6.2600800012200004</v>
      </c>
      <c r="J13" s="18">
        <v>6.4478824012566003</v>
      </c>
      <c r="K13" s="18">
        <v>6.6413188732942983</v>
      </c>
      <c r="L13" s="18">
        <v>6.8405584394931278</v>
      </c>
      <c r="M13" s="18">
        <v>7.0457751926779215</v>
      </c>
      <c r="N13" s="18">
        <v>7.2571484484582598</v>
      </c>
      <c r="O13" s="18">
        <v>7.4748629019120081</v>
      </c>
      <c r="P13" s="18">
        <v>7.6991087889693688</v>
      </c>
      <c r="Q13" s="18">
        <v>7.9300820526384497</v>
      </c>
      <c r="R13" s="18">
        <v>8.1679845142176042</v>
      </c>
      <c r="S13" s="18">
        <v>8.4130240496441324</v>
      </c>
      <c r="T13" s="18">
        <v>8.6654147711334559</v>
      </c>
      <c r="U13" s="18">
        <v>8.9253772142674599</v>
      </c>
      <c r="V13" s="18">
        <v>9.1931385306954834</v>
      </c>
      <c r="W13" s="18">
        <v>9.4689326866163483</v>
      </c>
      <c r="X13" s="57"/>
    </row>
    <row r="14" spans="1:24" x14ac:dyDescent="0.25">
      <c r="X14" s="24"/>
    </row>
    <row r="15" spans="1:24" x14ac:dyDescent="0.25">
      <c r="X15" s="24"/>
    </row>
    <row r="17" spans="1:7" x14ac:dyDescent="0.25">
      <c r="B17" s="314" t="s">
        <v>47</v>
      </c>
      <c r="C17" s="314"/>
      <c r="D17" s="314"/>
    </row>
    <row r="18" spans="1:7" x14ac:dyDescent="0.25">
      <c r="B18" s="314"/>
      <c r="C18" s="314"/>
      <c r="D18" s="314"/>
    </row>
    <row r="20" spans="1:7" x14ac:dyDescent="0.25">
      <c r="E20" s="83" t="s">
        <v>12</v>
      </c>
      <c r="F20" s="5">
        <v>1.03</v>
      </c>
    </row>
    <row r="21" spans="1:7" x14ac:dyDescent="0.25">
      <c r="A21" s="26">
        <v>1</v>
      </c>
      <c r="B21" s="82">
        <v>2016</v>
      </c>
      <c r="C21" s="17">
        <f>(5*1.08)</f>
        <v>5.4</v>
      </c>
    </row>
    <row r="22" spans="1:7" x14ac:dyDescent="0.25">
      <c r="A22" s="26">
        <v>2</v>
      </c>
      <c r="B22" s="82">
        <v>2017</v>
      </c>
      <c r="C22" s="17">
        <f>C21*$F$20</f>
        <v>5.5620000000000003</v>
      </c>
      <c r="D22" s="21">
        <f>(C22-C21)/C22</f>
        <v>2.9126213592232993E-2</v>
      </c>
    </row>
    <row r="23" spans="1:7" x14ac:dyDescent="0.25">
      <c r="A23" s="26">
        <v>3</v>
      </c>
      <c r="B23" s="82">
        <v>2018</v>
      </c>
      <c r="C23" s="17">
        <f>C22*$F$20</f>
        <v>5.7288600000000001</v>
      </c>
    </row>
    <row r="24" spans="1:7" x14ac:dyDescent="0.25">
      <c r="A24" s="26">
        <v>4</v>
      </c>
      <c r="B24" s="82">
        <v>2019</v>
      </c>
      <c r="C24" s="17">
        <f t="shared" ref="C24:C40" si="1">C23*$F$20</f>
        <v>5.9007258</v>
      </c>
    </row>
    <row r="25" spans="1:7" x14ac:dyDescent="0.25">
      <c r="A25" s="26">
        <v>5</v>
      </c>
      <c r="B25" s="82">
        <v>2020</v>
      </c>
      <c r="C25" s="17">
        <f t="shared" si="1"/>
        <v>6.077747574</v>
      </c>
      <c r="G25" s="248"/>
    </row>
    <row r="26" spans="1:7" x14ac:dyDescent="0.25">
      <c r="A26" s="26">
        <v>6</v>
      </c>
      <c r="B26" s="82">
        <v>2021</v>
      </c>
      <c r="C26" s="17">
        <f t="shared" si="1"/>
        <v>6.2600800012200004</v>
      </c>
    </row>
    <row r="27" spans="1:7" x14ac:dyDescent="0.25">
      <c r="A27" s="26">
        <v>7</v>
      </c>
      <c r="B27" s="82">
        <v>2022</v>
      </c>
      <c r="C27" s="17">
        <f t="shared" si="1"/>
        <v>6.4478824012566003</v>
      </c>
      <c r="E27" s="47" t="s">
        <v>285</v>
      </c>
      <c r="F27" s="6">
        <f>MIN(C21:C40)</f>
        <v>5.4</v>
      </c>
    </row>
    <row r="28" spans="1:7" x14ac:dyDescent="0.25">
      <c r="A28" s="26">
        <v>8</v>
      </c>
      <c r="B28" s="82">
        <v>2023</v>
      </c>
      <c r="C28" s="17">
        <f t="shared" si="1"/>
        <v>6.6413188732942983</v>
      </c>
      <c r="E28" s="47" t="s">
        <v>287</v>
      </c>
      <c r="F28" s="6">
        <f>AVERAGE(F27,F29)</f>
        <v>7.4344663433081744</v>
      </c>
    </row>
    <row r="29" spans="1:7" x14ac:dyDescent="0.25">
      <c r="A29" s="26">
        <v>9</v>
      </c>
      <c r="B29" s="82">
        <v>2024</v>
      </c>
      <c r="C29" s="17">
        <f t="shared" si="1"/>
        <v>6.8405584394931278</v>
      </c>
      <c r="E29" s="47" t="s">
        <v>286</v>
      </c>
      <c r="F29" s="6">
        <f>MAX(C21:C40)</f>
        <v>9.4689326866163483</v>
      </c>
    </row>
    <row r="30" spans="1:7" x14ac:dyDescent="0.25">
      <c r="A30" s="26">
        <v>10</v>
      </c>
      <c r="B30" s="82">
        <v>2025</v>
      </c>
      <c r="C30" s="17">
        <f t="shared" si="1"/>
        <v>7.0457751926779215</v>
      </c>
    </row>
    <row r="31" spans="1:7" x14ac:dyDescent="0.25">
      <c r="A31" s="26">
        <v>11</v>
      </c>
      <c r="B31" s="82">
        <v>2026</v>
      </c>
      <c r="C31" s="17">
        <f t="shared" si="1"/>
        <v>7.2571484484582598</v>
      </c>
    </row>
    <row r="32" spans="1:7" x14ac:dyDescent="0.25">
      <c r="A32" s="26">
        <v>12</v>
      </c>
      <c r="B32" s="82">
        <v>2027</v>
      </c>
      <c r="C32" s="17">
        <f t="shared" si="1"/>
        <v>7.4748629019120081</v>
      </c>
    </row>
    <row r="33" spans="1:9" x14ac:dyDescent="0.25">
      <c r="A33" s="26">
        <v>13</v>
      </c>
      <c r="B33" s="82">
        <v>2028</v>
      </c>
      <c r="C33" s="17">
        <f t="shared" si="1"/>
        <v>7.6991087889693688</v>
      </c>
    </row>
    <row r="34" spans="1:9" x14ac:dyDescent="0.25">
      <c r="A34" s="26">
        <v>14</v>
      </c>
      <c r="B34" s="82">
        <v>2029</v>
      </c>
      <c r="C34" s="17">
        <f t="shared" si="1"/>
        <v>7.9300820526384497</v>
      </c>
    </row>
    <row r="35" spans="1:9" x14ac:dyDescent="0.25">
      <c r="A35" s="26">
        <v>15</v>
      </c>
      <c r="B35" s="82">
        <v>2030</v>
      </c>
      <c r="C35" s="17">
        <f t="shared" si="1"/>
        <v>8.1679845142176042</v>
      </c>
    </row>
    <row r="36" spans="1:9" x14ac:dyDescent="0.25">
      <c r="A36" s="26">
        <v>16</v>
      </c>
      <c r="B36" s="82">
        <v>2031</v>
      </c>
      <c r="C36" s="17">
        <f t="shared" si="1"/>
        <v>8.4130240496441324</v>
      </c>
    </row>
    <row r="37" spans="1:9" x14ac:dyDescent="0.25">
      <c r="A37" s="26">
        <v>17</v>
      </c>
      <c r="B37" s="82">
        <v>2032</v>
      </c>
      <c r="C37" s="17">
        <f t="shared" si="1"/>
        <v>8.6654147711334559</v>
      </c>
    </row>
    <row r="38" spans="1:9" x14ac:dyDescent="0.25">
      <c r="A38" s="26">
        <v>18</v>
      </c>
      <c r="B38" s="82">
        <v>2033</v>
      </c>
      <c r="C38" s="17">
        <f t="shared" si="1"/>
        <v>8.9253772142674599</v>
      </c>
    </row>
    <row r="39" spans="1:9" x14ac:dyDescent="0.25">
      <c r="A39" s="26">
        <v>19</v>
      </c>
      <c r="B39" s="82">
        <v>2034</v>
      </c>
      <c r="C39" s="17">
        <f t="shared" si="1"/>
        <v>9.1931385306954834</v>
      </c>
    </row>
    <row r="40" spans="1:9" x14ac:dyDescent="0.25">
      <c r="A40" s="26">
        <v>20</v>
      </c>
      <c r="B40" s="213">
        <v>2035</v>
      </c>
      <c r="C40" s="200">
        <f t="shared" si="1"/>
        <v>9.4689326866163483</v>
      </c>
    </row>
    <row r="41" spans="1:9" x14ac:dyDescent="0.25">
      <c r="A41" s="60"/>
      <c r="B41" s="74"/>
      <c r="C41" s="182"/>
    </row>
    <row r="47" spans="1:9" x14ac:dyDescent="0.25">
      <c r="B47" s="104" t="s">
        <v>49</v>
      </c>
      <c r="C47" s="114">
        <f>SUM(C48:C55)</f>
        <v>731741.80716253445</v>
      </c>
      <c r="D47" s="114">
        <f t="shared" ref="D47:F47" si="2">SUM(D48:D55)</f>
        <v>731741.80716253445</v>
      </c>
      <c r="E47" s="114">
        <f t="shared" si="2"/>
        <v>731741.80716253445</v>
      </c>
      <c r="F47" s="114">
        <f t="shared" si="2"/>
        <v>731741.80716253445</v>
      </c>
      <c r="G47" s="114">
        <f>SUM(G48:G55)</f>
        <v>731741.80716253445</v>
      </c>
      <c r="H47" s="77"/>
    </row>
    <row r="48" spans="1:9" x14ac:dyDescent="0.25">
      <c r="B48" s="26" t="s">
        <v>50</v>
      </c>
      <c r="C48" s="113">
        <v>105000</v>
      </c>
      <c r="D48" s="113">
        <v>105000</v>
      </c>
      <c r="E48" s="113">
        <v>105000</v>
      </c>
      <c r="F48" s="113">
        <v>105000</v>
      </c>
      <c r="G48" s="113">
        <v>105000</v>
      </c>
      <c r="H48" s="79">
        <f>C48/12</f>
        <v>8750</v>
      </c>
      <c r="I48" s="111"/>
    </row>
    <row r="49" spans="2:11" x14ac:dyDescent="0.25">
      <c r="B49" s="26" t="s">
        <v>202</v>
      </c>
      <c r="C49" s="113">
        <v>64800</v>
      </c>
      <c r="D49" s="113">
        <v>64800</v>
      </c>
      <c r="E49" s="113">
        <v>64800</v>
      </c>
      <c r="F49" s="113">
        <v>64800</v>
      </c>
      <c r="G49" s="113">
        <v>64800</v>
      </c>
      <c r="H49" s="77"/>
      <c r="I49" s="111"/>
      <c r="J49" s="83" t="s">
        <v>203</v>
      </c>
      <c r="K49" s="79">
        <f>(55000*1.08)*2</f>
        <v>118800.00000000001</v>
      </c>
    </row>
    <row r="50" spans="2:11" x14ac:dyDescent="0.25">
      <c r="B50" s="26" t="s">
        <v>51</v>
      </c>
      <c r="C50" s="113">
        <v>35800</v>
      </c>
      <c r="D50" s="113">
        <v>35800</v>
      </c>
      <c r="E50" s="113">
        <v>35800</v>
      </c>
      <c r="F50" s="113">
        <v>35800</v>
      </c>
      <c r="G50" s="113">
        <v>35800</v>
      </c>
      <c r="H50" s="77"/>
      <c r="I50" s="111"/>
      <c r="J50" s="83" t="s">
        <v>100</v>
      </c>
      <c r="K50" s="79">
        <f>(60000*1.08) *1.3</f>
        <v>84240.000000000015</v>
      </c>
    </row>
    <row r="51" spans="2:11" x14ac:dyDescent="0.25">
      <c r="B51" s="26" t="s">
        <v>52</v>
      </c>
      <c r="C51" s="113">
        <v>25500</v>
      </c>
      <c r="D51" s="113">
        <v>25500</v>
      </c>
      <c r="E51" s="113">
        <v>25500</v>
      </c>
      <c r="F51" s="113">
        <v>25500</v>
      </c>
      <c r="G51" s="113">
        <v>25500</v>
      </c>
      <c r="H51" s="77"/>
      <c r="I51" s="111"/>
      <c r="K51" s="77"/>
    </row>
    <row r="52" spans="2:11" x14ac:dyDescent="0.25">
      <c r="B52" s="26" t="s">
        <v>53</v>
      </c>
      <c r="C52" s="113">
        <f>(0.01*'Inv. y Dep.'!$I$13)</f>
        <v>297601.8071625345</v>
      </c>
      <c r="D52" s="113">
        <f>(0.01*'Inv. y Dep.'!$I$13)</f>
        <v>297601.8071625345</v>
      </c>
      <c r="E52" s="113">
        <f>(0.01*'Inv. y Dep.'!$I$13)</f>
        <v>297601.8071625345</v>
      </c>
      <c r="F52" s="113">
        <f>(0.01*'Inv. y Dep.'!$I$13)</f>
        <v>297601.8071625345</v>
      </c>
      <c r="G52" s="113">
        <f>(0.01*'Inv. y Dep.'!$I$13)</f>
        <v>297601.8071625345</v>
      </c>
      <c r="H52" s="77"/>
      <c r="I52" s="111"/>
      <c r="K52" s="77"/>
    </row>
    <row r="53" spans="2:11" x14ac:dyDescent="0.25">
      <c r="B53" s="26" t="s">
        <v>54</v>
      </c>
      <c r="C53" s="113">
        <f>$K$49</f>
        <v>118800.00000000001</v>
      </c>
      <c r="D53" s="113">
        <f t="shared" ref="D53:G53" si="3">$K$49</f>
        <v>118800.00000000001</v>
      </c>
      <c r="E53" s="113">
        <f t="shared" si="3"/>
        <v>118800.00000000001</v>
      </c>
      <c r="F53" s="113">
        <f t="shared" si="3"/>
        <v>118800.00000000001</v>
      </c>
      <c r="G53" s="113">
        <f t="shared" si="3"/>
        <v>118800.00000000001</v>
      </c>
      <c r="H53" s="113">
        <f>G53/12</f>
        <v>9900.0000000000018</v>
      </c>
      <c r="I53" s="111"/>
      <c r="K53" s="77"/>
    </row>
    <row r="54" spans="2:11" x14ac:dyDescent="0.25">
      <c r="B54" s="26" t="s">
        <v>55</v>
      </c>
      <c r="C54" s="113">
        <f>$K$50</f>
        <v>84240.000000000015</v>
      </c>
      <c r="D54" s="113">
        <f t="shared" ref="D54:G54" si="4">$K$50</f>
        <v>84240.000000000015</v>
      </c>
      <c r="E54" s="113">
        <f>$K$50</f>
        <v>84240.000000000015</v>
      </c>
      <c r="F54" s="113">
        <f t="shared" si="4"/>
        <v>84240.000000000015</v>
      </c>
      <c r="G54" s="113">
        <f t="shared" si="4"/>
        <v>84240.000000000015</v>
      </c>
      <c r="H54" s="113">
        <f>G54/12</f>
        <v>7020.0000000000009</v>
      </c>
      <c r="I54" s="111"/>
      <c r="K54" s="77"/>
    </row>
    <row r="55" spans="2:11" x14ac:dyDescent="0.25">
      <c r="C55" s="113"/>
      <c r="D55" s="113"/>
      <c r="E55" s="113"/>
      <c r="F55" s="113"/>
      <c r="G55" s="113"/>
      <c r="H55" s="77">
        <f>H53+H54</f>
        <v>16920.000000000004</v>
      </c>
      <c r="I55" s="111"/>
      <c r="K55" s="77"/>
    </row>
    <row r="56" spans="2:11" x14ac:dyDescent="0.25">
      <c r="C56" s="77"/>
      <c r="D56" s="77"/>
      <c r="E56" s="77"/>
      <c r="F56" s="77"/>
      <c r="G56" s="77"/>
      <c r="H56" s="79">
        <f>H55*6</f>
        <v>101520.00000000003</v>
      </c>
      <c r="I56" s="111"/>
      <c r="J56" s="77">
        <f>H48+H56</f>
        <v>110270.00000000003</v>
      </c>
      <c r="K56" s="77"/>
    </row>
    <row r="57" spans="2:11" x14ac:dyDescent="0.25">
      <c r="H57" s="111"/>
      <c r="I57" s="111"/>
    </row>
  </sheetData>
  <mergeCells count="7">
    <mergeCell ref="N3:S4"/>
    <mergeCell ref="A12:C12"/>
    <mergeCell ref="B17:D18"/>
    <mergeCell ref="B2:K5"/>
    <mergeCell ref="A9:C9"/>
    <mergeCell ref="A10:C10"/>
    <mergeCell ref="A11:C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O17"/>
  <sheetViews>
    <sheetView workbookViewId="0">
      <selection activeCell="E16" sqref="E16"/>
    </sheetView>
  </sheetViews>
  <sheetFormatPr baseColWidth="10" defaultRowHeight="15" x14ac:dyDescent="0.25"/>
  <cols>
    <col min="2" max="2" width="21.140625" customWidth="1"/>
    <col min="3" max="3" width="14.42578125" customWidth="1"/>
    <col min="4" max="4" width="23.7109375" customWidth="1"/>
  </cols>
  <sheetData>
    <row r="5" spans="2:15" x14ac:dyDescent="0.25">
      <c r="B5" s="314" t="s">
        <v>206</v>
      </c>
      <c r="C5" s="314"/>
      <c r="D5" s="314"/>
      <c r="E5" s="314"/>
      <c r="F5" s="314"/>
    </row>
    <row r="6" spans="2:15" x14ac:dyDescent="0.25">
      <c r="B6" s="314"/>
      <c r="C6" s="314"/>
      <c r="D6" s="314"/>
      <c r="E6" s="314"/>
      <c r="F6" s="314"/>
    </row>
    <row r="9" spans="2:15" x14ac:dyDescent="0.25">
      <c r="B9" s="83" t="s">
        <v>94</v>
      </c>
      <c r="C9" s="5"/>
      <c r="D9" s="83" t="s">
        <v>95</v>
      </c>
      <c r="E9" s="6"/>
      <c r="I9" s="331" t="s">
        <v>208</v>
      </c>
      <c r="J9" s="331"/>
      <c r="K9" s="331"/>
      <c r="L9" s="331"/>
      <c r="M9" s="331"/>
      <c r="N9" s="331"/>
      <c r="O9" s="331"/>
    </row>
    <row r="10" spans="2:15" x14ac:dyDescent="0.25">
      <c r="B10" s="86" t="s">
        <v>96</v>
      </c>
      <c r="C10" s="79">
        <f>'C. variables y otros'!J56</f>
        <v>110270.00000000003</v>
      </c>
      <c r="D10" s="89" t="s">
        <v>97</v>
      </c>
      <c r="E10" s="79">
        <v>20000</v>
      </c>
      <c r="I10" s="331"/>
      <c r="J10" s="331"/>
      <c r="K10" s="331"/>
      <c r="L10" s="331"/>
      <c r="M10" s="331"/>
      <c r="N10" s="331"/>
      <c r="O10" s="331"/>
    </row>
    <row r="11" spans="2:15" x14ac:dyDescent="0.25">
      <c r="B11" s="86" t="s">
        <v>98</v>
      </c>
      <c r="C11" s="79">
        <f>Ingresos!J28</f>
        <v>3655374.2577</v>
      </c>
      <c r="D11" s="89"/>
      <c r="E11" s="79"/>
      <c r="I11" s="331" t="s">
        <v>209</v>
      </c>
      <c r="J11" s="331"/>
      <c r="K11" s="331"/>
      <c r="L11" s="331"/>
      <c r="M11" s="331"/>
      <c r="N11" s="331"/>
      <c r="O11" s="331"/>
    </row>
    <row r="12" spans="2:15" x14ac:dyDescent="0.25">
      <c r="B12" s="86" t="s">
        <v>207</v>
      </c>
      <c r="C12" s="79">
        <f>C10+C11</f>
        <v>3765644.2577</v>
      </c>
      <c r="D12" s="89" t="s">
        <v>99</v>
      </c>
      <c r="E12" s="79">
        <f>E10</f>
        <v>20000</v>
      </c>
      <c r="I12" s="331"/>
      <c r="J12" s="331"/>
      <c r="K12" s="331"/>
      <c r="L12" s="331"/>
      <c r="M12" s="331"/>
      <c r="N12" s="331"/>
      <c r="O12" s="331"/>
    </row>
    <row r="13" spans="2:15" x14ac:dyDescent="0.25">
      <c r="I13" s="331" t="s">
        <v>101</v>
      </c>
      <c r="J13" s="331"/>
      <c r="K13" s="331"/>
      <c r="L13" s="331"/>
      <c r="M13" s="331"/>
      <c r="N13" s="331"/>
      <c r="O13" s="331"/>
    </row>
    <row r="14" spans="2:15" x14ac:dyDescent="0.25">
      <c r="B14" s="332" t="s">
        <v>168</v>
      </c>
      <c r="C14" s="83" t="s">
        <v>93</v>
      </c>
      <c r="D14" s="115">
        <f>C12-E12</f>
        <v>3745644.2577</v>
      </c>
      <c r="I14" s="331"/>
      <c r="J14" s="331"/>
      <c r="K14" s="331"/>
      <c r="L14" s="331"/>
      <c r="M14" s="331"/>
      <c r="N14" s="331"/>
      <c r="O14" s="331"/>
    </row>
    <row r="15" spans="2:15" x14ac:dyDescent="0.25">
      <c r="B15" s="332"/>
    </row>
    <row r="17" spans="3:4" x14ac:dyDescent="0.25">
      <c r="C17" s="24"/>
      <c r="D17" s="29"/>
    </row>
  </sheetData>
  <mergeCells count="5">
    <mergeCell ref="B5:F6"/>
    <mergeCell ref="I9:O10"/>
    <mergeCell ref="I11:O12"/>
    <mergeCell ref="I13:O14"/>
    <mergeCell ref="B14:B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60"/>
  <sheetViews>
    <sheetView topLeftCell="A49" zoomScale="85" zoomScaleNormal="85" workbookViewId="0">
      <selection activeCell="J57" sqref="J57"/>
    </sheetView>
  </sheetViews>
  <sheetFormatPr baseColWidth="10" defaultRowHeight="15" x14ac:dyDescent="0.25"/>
  <cols>
    <col min="2" max="2" width="46" customWidth="1"/>
    <col min="3" max="3" width="14.28515625" customWidth="1"/>
    <col min="5" max="5" width="14.42578125" customWidth="1"/>
    <col min="8" max="8" width="28.28515625" customWidth="1"/>
    <col min="9" max="9" width="17.28515625" customWidth="1"/>
    <col min="10" max="10" width="17" customWidth="1"/>
    <col min="11" max="11" width="5" bestFit="1" customWidth="1"/>
  </cols>
  <sheetData>
    <row r="2" spans="2:11" x14ac:dyDescent="0.25">
      <c r="B2" s="314" t="s">
        <v>210</v>
      </c>
      <c r="C2" s="314"/>
      <c r="D2" s="314"/>
      <c r="E2" s="314"/>
      <c r="F2" s="314"/>
      <c r="G2" s="314"/>
      <c r="H2" s="314"/>
      <c r="I2" s="314"/>
    </row>
    <row r="3" spans="2:11" x14ac:dyDescent="0.25">
      <c r="B3" s="314"/>
      <c r="C3" s="314"/>
      <c r="D3" s="314"/>
      <c r="E3" s="314"/>
      <c r="F3" s="314"/>
      <c r="G3" s="314"/>
      <c r="H3" s="314"/>
      <c r="I3" s="314"/>
    </row>
    <row r="5" spans="2:11" x14ac:dyDescent="0.25">
      <c r="B5" s="90" t="s">
        <v>59</v>
      </c>
      <c r="C5" s="90" t="s">
        <v>60</v>
      </c>
    </row>
    <row r="6" spans="2:11" x14ac:dyDescent="0.25">
      <c r="B6" s="91" t="s">
        <v>61</v>
      </c>
      <c r="C6" s="106">
        <f>SUM(C7)</f>
        <v>94765.840220385697</v>
      </c>
    </row>
    <row r="7" spans="2:11" x14ac:dyDescent="0.25">
      <c r="B7" s="12" t="s">
        <v>62</v>
      </c>
      <c r="C7" s="94">
        <f>(172000/36.3)*20</f>
        <v>94765.840220385697</v>
      </c>
    </row>
    <row r="8" spans="2:11" x14ac:dyDescent="0.25">
      <c r="B8" s="91" t="s">
        <v>56</v>
      </c>
      <c r="C8" s="106">
        <f>SUM(C9:C10)</f>
        <v>23672898.071625348</v>
      </c>
    </row>
    <row r="9" spans="2:11" x14ac:dyDescent="0.25">
      <c r="B9" s="12" t="s">
        <v>63</v>
      </c>
      <c r="C9" s="94">
        <f>(6864000/36.3)*20</f>
        <v>3781818.1818181826</v>
      </c>
    </row>
    <row r="10" spans="2:11" x14ac:dyDescent="0.25">
      <c r="B10" s="12" t="s">
        <v>64</v>
      </c>
      <c r="C10" s="94">
        <f>(36102310/36.3)*20</f>
        <v>19891079.889807165</v>
      </c>
      <c r="G10" s="315" t="s">
        <v>211</v>
      </c>
      <c r="H10" s="315"/>
      <c r="I10" s="315"/>
    </row>
    <row r="11" spans="2:11" x14ac:dyDescent="0.25">
      <c r="B11" s="91" t="s">
        <v>57</v>
      </c>
      <c r="C11" s="106">
        <f>SUM(C12:C15)</f>
        <v>1831894.2148760331</v>
      </c>
      <c r="G11" s="315"/>
      <c r="H11" s="315"/>
      <c r="I11" s="315"/>
    </row>
    <row r="12" spans="2:11" x14ac:dyDescent="0.25">
      <c r="B12" s="12" t="s">
        <v>65</v>
      </c>
      <c r="C12" s="94">
        <f>(356600/36.3)*20*1.75</f>
        <v>343829.20110192837</v>
      </c>
      <c r="G12" s="339"/>
      <c r="H12" s="339"/>
      <c r="I12" s="92" t="s">
        <v>90</v>
      </c>
      <c r="K12">
        <v>1.1000000000000001</v>
      </c>
    </row>
    <row r="13" spans="2:11" x14ac:dyDescent="0.25">
      <c r="B13" s="12" t="s">
        <v>66</v>
      </c>
      <c r="C13" s="94">
        <f>(1026400/36.3)*20*1.75</f>
        <v>989641.87327823706</v>
      </c>
      <c r="G13" s="306" t="s">
        <v>212</v>
      </c>
      <c r="H13" s="306"/>
      <c r="I13" s="79">
        <f>C27</f>
        <v>29760180.716253448</v>
      </c>
      <c r="K13">
        <v>1.1499999999999999</v>
      </c>
    </row>
    <row r="14" spans="2:11" x14ac:dyDescent="0.25">
      <c r="B14" s="12" t="s">
        <v>67</v>
      </c>
      <c r="C14" s="94">
        <f>(358000/36.3)*20*1.75</f>
        <v>345179.06336088153</v>
      </c>
      <c r="G14" s="306" t="s">
        <v>91</v>
      </c>
      <c r="H14" s="306"/>
      <c r="I14" s="79">
        <f>C37</f>
        <v>5351000</v>
      </c>
      <c r="K14">
        <v>1.2</v>
      </c>
    </row>
    <row r="15" spans="2:11" ht="15.75" thickBot="1" x14ac:dyDescent="0.3">
      <c r="B15" s="12" t="s">
        <v>68</v>
      </c>
      <c r="C15" s="94">
        <f>(158936/36.3)*20*1.75</f>
        <v>153244.07713498623</v>
      </c>
      <c r="G15" s="306" t="s">
        <v>92</v>
      </c>
      <c r="H15" s="306"/>
      <c r="I15" s="187">
        <f>'Cap. de Trab.'!D14</f>
        <v>3745644.2577</v>
      </c>
      <c r="K15">
        <v>1.3</v>
      </c>
    </row>
    <row r="16" spans="2:11" ht="15.75" thickBot="1" x14ac:dyDescent="0.3">
      <c r="B16" s="91" t="s">
        <v>69</v>
      </c>
      <c r="C16" s="106">
        <f>SUM(C17:C21)</f>
        <v>2548363.6363636367</v>
      </c>
      <c r="G16" s="5"/>
      <c r="H16" s="66"/>
      <c r="I16" s="188">
        <f>SUM(I13:I15)</f>
        <v>38856824.973953441</v>
      </c>
      <c r="K16">
        <v>0.9</v>
      </c>
    </row>
    <row r="17" spans="2:11" x14ac:dyDescent="0.25">
      <c r="B17" s="12" t="s">
        <v>70</v>
      </c>
      <c r="C17" s="94">
        <f>(735000/36.3)*20*3.6</f>
        <v>1457851.2396694217</v>
      </c>
      <c r="I17" s="112"/>
      <c r="K17">
        <v>0.85</v>
      </c>
    </row>
    <row r="18" spans="2:11" x14ac:dyDescent="0.25">
      <c r="B18" s="12" t="s">
        <v>71</v>
      </c>
      <c r="C18" s="94">
        <f>(44420/36.3)*20*3.6</f>
        <v>88105.785123966954</v>
      </c>
      <c r="K18">
        <v>0.8</v>
      </c>
    </row>
    <row r="19" spans="2:11" x14ac:dyDescent="0.25">
      <c r="B19" s="12" t="s">
        <v>72</v>
      </c>
      <c r="C19" s="94">
        <f>(336300/36.3)*20*3.6</f>
        <v>667041.3223140497</v>
      </c>
      <c r="K19">
        <v>0.7</v>
      </c>
    </row>
    <row r="20" spans="2:11" x14ac:dyDescent="0.25">
      <c r="B20" s="12" t="s">
        <v>73</v>
      </c>
      <c r="C20" s="94">
        <f>(100200/36.3)*20*3.6</f>
        <v>198743.80165289261</v>
      </c>
    </row>
    <row r="21" spans="2:11" x14ac:dyDescent="0.25">
      <c r="B21" s="12" t="s">
        <v>74</v>
      </c>
      <c r="C21" s="94">
        <f>(68880/36.3)*20*3.6</f>
        <v>136621.48760330581</v>
      </c>
    </row>
    <row r="22" spans="2:11" x14ac:dyDescent="0.25">
      <c r="B22" s="91" t="s">
        <v>58</v>
      </c>
      <c r="C22" s="106">
        <f>SUM(C23:C24)</f>
        <v>262258.9531680441</v>
      </c>
    </row>
    <row r="23" spans="2:11" x14ac:dyDescent="0.25">
      <c r="B23" s="12" t="s">
        <v>75</v>
      </c>
      <c r="C23" s="94">
        <f>(346000/36.3)*20</f>
        <v>190633.608815427</v>
      </c>
    </row>
    <row r="24" spans="2:11" x14ac:dyDescent="0.25">
      <c r="B24" s="12" t="s">
        <v>76</v>
      </c>
      <c r="C24" s="94">
        <f>(130000/36.3)*20</f>
        <v>71625.344352617089</v>
      </c>
    </row>
    <row r="25" spans="2:11" x14ac:dyDescent="0.25">
      <c r="B25" s="91" t="s">
        <v>77</v>
      </c>
      <c r="C25" s="106">
        <f>C26</f>
        <v>1350000</v>
      </c>
    </row>
    <row r="26" spans="2:11" ht="30" customHeight="1" x14ac:dyDescent="0.25">
      <c r="B26" s="20" t="s">
        <v>78</v>
      </c>
      <c r="C26" s="94">
        <f>(1250000*1.08)</f>
        <v>1350000</v>
      </c>
    </row>
    <row r="27" spans="2:11" x14ac:dyDescent="0.25">
      <c r="B27" s="82" t="s">
        <v>43</v>
      </c>
      <c r="C27" s="116">
        <f>SUM(C6,C11,C16,C22,C8,C25)</f>
        <v>29760180.716253448</v>
      </c>
    </row>
    <row r="29" spans="2:11" x14ac:dyDescent="0.25">
      <c r="B29" s="314" t="s">
        <v>79</v>
      </c>
    </row>
    <row r="30" spans="2:11" x14ac:dyDescent="0.25">
      <c r="B30" s="314"/>
    </row>
    <row r="32" spans="2:11" x14ac:dyDescent="0.25">
      <c r="B32" s="90" t="s">
        <v>80</v>
      </c>
      <c r="C32" s="90" t="s">
        <v>81</v>
      </c>
    </row>
    <row r="33" spans="2:10" x14ac:dyDescent="0.25">
      <c r="B33" s="12" t="s">
        <v>82</v>
      </c>
      <c r="C33" s="94">
        <v>745000</v>
      </c>
    </row>
    <row r="34" spans="2:10" x14ac:dyDescent="0.25">
      <c r="B34" s="12" t="s">
        <v>83</v>
      </c>
      <c r="C34" s="94">
        <f>568000</f>
        <v>568000</v>
      </c>
    </row>
    <row r="35" spans="2:10" x14ac:dyDescent="0.25">
      <c r="B35" s="12" t="s">
        <v>84</v>
      </c>
      <c r="C35" s="94">
        <v>882000</v>
      </c>
    </row>
    <row r="36" spans="2:10" x14ac:dyDescent="0.25">
      <c r="B36" s="12" t="s">
        <v>85</v>
      </c>
      <c r="C36" s="94">
        <v>3156000</v>
      </c>
    </row>
    <row r="37" spans="2:10" x14ac:dyDescent="0.25">
      <c r="B37" s="82" t="s">
        <v>93</v>
      </c>
      <c r="C37" s="116">
        <f>SUM(C33:C36)</f>
        <v>5351000</v>
      </c>
    </row>
    <row r="42" spans="2:10" x14ac:dyDescent="0.25">
      <c r="J42" s="21"/>
    </row>
    <row r="43" spans="2:10" x14ac:dyDescent="0.25">
      <c r="C43" s="314" t="s">
        <v>213</v>
      </c>
      <c r="D43" s="314"/>
      <c r="E43" s="314"/>
      <c r="F43" s="314"/>
      <c r="H43" s="83" t="s">
        <v>214</v>
      </c>
      <c r="I43" s="5">
        <v>20</v>
      </c>
    </row>
    <row r="44" spans="2:10" x14ac:dyDescent="0.25">
      <c r="C44" s="314"/>
      <c r="D44" s="314"/>
      <c r="E44" s="314"/>
      <c r="F44" s="314"/>
      <c r="H44" s="83" t="s">
        <v>86</v>
      </c>
      <c r="I44" s="19">
        <v>0.1</v>
      </c>
    </row>
    <row r="46" spans="2:10" ht="45" x14ac:dyDescent="0.25">
      <c r="B46" s="336" t="s">
        <v>87</v>
      </c>
      <c r="C46" s="337"/>
      <c r="D46" s="338"/>
      <c r="E46" s="92" t="s">
        <v>88</v>
      </c>
      <c r="F46" s="306" t="s">
        <v>89</v>
      </c>
      <c r="G46" s="306"/>
      <c r="H46" s="306" t="s">
        <v>227</v>
      </c>
      <c r="I46" s="306"/>
      <c r="J46" s="92" t="s">
        <v>215</v>
      </c>
    </row>
    <row r="47" spans="2:10" x14ac:dyDescent="0.25">
      <c r="B47" s="346" t="s">
        <v>56</v>
      </c>
      <c r="C47" s="346"/>
      <c r="D47" s="346"/>
      <c r="E47" s="79">
        <f>C8</f>
        <v>23672898.071625348</v>
      </c>
      <c r="F47" s="345">
        <f>I44*E47</f>
        <v>2367289.8071625349</v>
      </c>
      <c r="G47" s="345"/>
      <c r="H47" s="344">
        <f>(E47-F47)/$I$43</f>
        <v>1065280.4132231406</v>
      </c>
      <c r="I47" s="344"/>
      <c r="J47" s="79">
        <f>H47*20</f>
        <v>21305608.264462814</v>
      </c>
    </row>
    <row r="48" spans="2:10" x14ac:dyDescent="0.25">
      <c r="B48" s="340" t="s">
        <v>57</v>
      </c>
      <c r="C48" s="340"/>
      <c r="D48" s="340"/>
      <c r="E48" s="79">
        <f>C11</f>
        <v>1831894.2148760331</v>
      </c>
      <c r="F48" s="345">
        <f>I44*E48</f>
        <v>183189.42148760334</v>
      </c>
      <c r="G48" s="345"/>
      <c r="H48" s="344">
        <f>(E48-F48)/$I$43</f>
        <v>82435.239669421484</v>
      </c>
      <c r="I48" s="344"/>
      <c r="J48" s="79">
        <f>H48*20</f>
        <v>1648704.7933884296</v>
      </c>
    </row>
    <row r="49" spans="2:10" x14ac:dyDescent="0.25">
      <c r="B49" s="340" t="s">
        <v>259</v>
      </c>
      <c r="C49" s="340"/>
      <c r="D49" s="340"/>
      <c r="E49" s="79">
        <f>C16</f>
        <v>2548363.6363636367</v>
      </c>
      <c r="F49" s="341">
        <f>I44*E49</f>
        <v>254836.36363636368</v>
      </c>
      <c r="G49" s="341"/>
      <c r="H49" s="344">
        <f>(E49-F49)/$I$43</f>
        <v>114676.36363636365</v>
      </c>
      <c r="I49" s="344"/>
      <c r="J49" s="79">
        <f>H49*20</f>
        <v>2293527.2727272729</v>
      </c>
    </row>
    <row r="50" spans="2:10" x14ac:dyDescent="0.25">
      <c r="B50" s="340" t="s">
        <v>58</v>
      </c>
      <c r="C50" s="340"/>
      <c r="D50" s="340"/>
      <c r="E50" s="79">
        <f>C22</f>
        <v>262258.9531680441</v>
      </c>
      <c r="F50" s="341">
        <v>0</v>
      </c>
      <c r="G50" s="341"/>
      <c r="H50" s="342">
        <f>(E50-F50)/5</f>
        <v>52451.79063360882</v>
      </c>
      <c r="I50" s="342"/>
      <c r="J50" s="79">
        <f>H50*5</f>
        <v>262258.9531680441</v>
      </c>
    </row>
    <row r="51" spans="2:10" x14ac:dyDescent="0.25">
      <c r="B51" s="340" t="s">
        <v>228</v>
      </c>
      <c r="C51" s="340"/>
      <c r="D51" s="340"/>
      <c r="E51" s="79">
        <f>C25</f>
        <v>1350000</v>
      </c>
      <c r="F51" s="341">
        <f>I44*E51</f>
        <v>135000</v>
      </c>
      <c r="G51" s="343"/>
      <c r="H51" s="344">
        <f>(E51-F51)/$I$43</f>
        <v>60750</v>
      </c>
      <c r="I51" s="344"/>
      <c r="J51" s="120">
        <f>H51*20</f>
        <v>1215000</v>
      </c>
    </row>
    <row r="52" spans="2:10" x14ac:dyDescent="0.25">
      <c r="B52" s="306" t="s">
        <v>43</v>
      </c>
      <c r="C52" s="306"/>
      <c r="D52" s="306"/>
      <c r="E52" s="79"/>
      <c r="F52" s="333">
        <f>SUM(F47:G51)</f>
        <v>2940315.592286502</v>
      </c>
      <c r="G52" s="334"/>
      <c r="H52" s="335">
        <f>SUM(H47:I51)</f>
        <v>1375593.8071625347</v>
      </c>
      <c r="I52" s="335"/>
      <c r="J52" s="120"/>
    </row>
    <row r="53" spans="2:10" ht="15.75" thickBot="1" x14ac:dyDescent="0.3"/>
    <row r="54" spans="2:10" ht="15.75" thickBot="1" x14ac:dyDescent="0.3">
      <c r="F54" s="234">
        <f>F52</f>
        <v>2940315.592286502</v>
      </c>
      <c r="G54" s="235"/>
      <c r="H54" s="121">
        <f>+H52</f>
        <v>1375593.8071625347</v>
      </c>
    </row>
    <row r="55" spans="2:10" x14ac:dyDescent="0.25">
      <c r="F55" s="15"/>
    </row>
    <row r="56" spans="2:10" x14ac:dyDescent="0.25">
      <c r="F56" s="15"/>
    </row>
    <row r="57" spans="2:10" x14ac:dyDescent="0.25">
      <c r="F57" s="15"/>
    </row>
    <row r="58" spans="2:10" x14ac:dyDescent="0.25">
      <c r="F58" s="15"/>
    </row>
    <row r="59" spans="2:10" x14ac:dyDescent="0.25">
      <c r="F59" s="15"/>
    </row>
    <row r="60" spans="2:10" x14ac:dyDescent="0.25">
      <c r="F60" s="15"/>
    </row>
  </sheetData>
  <mergeCells count="29">
    <mergeCell ref="H48:I48"/>
    <mergeCell ref="B49:D49"/>
    <mergeCell ref="F49:G49"/>
    <mergeCell ref="H49:I49"/>
    <mergeCell ref="B2:I3"/>
    <mergeCell ref="B29:B30"/>
    <mergeCell ref="C43:F44"/>
    <mergeCell ref="F46:G46"/>
    <mergeCell ref="H46:I46"/>
    <mergeCell ref="B47:D47"/>
    <mergeCell ref="F47:G47"/>
    <mergeCell ref="H47:I47"/>
    <mergeCell ref="G10:I11"/>
    <mergeCell ref="B52:D52"/>
    <mergeCell ref="F52:G52"/>
    <mergeCell ref="H52:I52"/>
    <mergeCell ref="B46:D46"/>
    <mergeCell ref="G12:H12"/>
    <mergeCell ref="G13:H13"/>
    <mergeCell ref="G14:H14"/>
    <mergeCell ref="G15:H15"/>
    <mergeCell ref="B50:D50"/>
    <mergeCell ref="F50:G50"/>
    <mergeCell ref="H50:I50"/>
    <mergeCell ref="B51:D51"/>
    <mergeCell ref="F51:G51"/>
    <mergeCell ref="H51:I51"/>
    <mergeCell ref="B48:D48"/>
    <mergeCell ref="F48:G4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M29"/>
  <sheetViews>
    <sheetView topLeftCell="A10" zoomScale="85" zoomScaleNormal="85" workbookViewId="0">
      <selection activeCell="D8" sqref="D8"/>
    </sheetView>
  </sheetViews>
  <sheetFormatPr baseColWidth="10" defaultRowHeight="15" x14ac:dyDescent="0.25"/>
  <cols>
    <col min="3" max="3" width="29.28515625" customWidth="1"/>
    <col min="4" max="4" width="19.85546875" customWidth="1"/>
    <col min="6" max="6" width="16.5703125" customWidth="1"/>
    <col min="8" max="8" width="17" customWidth="1"/>
  </cols>
  <sheetData>
    <row r="5" spans="3:8" ht="32.25" customHeight="1" x14ac:dyDescent="0.25">
      <c r="C5" s="347" t="s">
        <v>260</v>
      </c>
      <c r="D5" s="347"/>
      <c r="E5" s="347"/>
    </row>
    <row r="6" spans="3:8" x14ac:dyDescent="0.25">
      <c r="C6" s="348"/>
      <c r="D6" s="349"/>
      <c r="E6" s="350"/>
    </row>
    <row r="7" spans="3:8" x14ac:dyDescent="0.25">
      <c r="C7" s="83" t="s">
        <v>106</v>
      </c>
      <c r="D7" s="105">
        <f>('Inv. y Dep.'!I16)*0.6</f>
        <v>23314094.984372064</v>
      </c>
      <c r="E7" s="157">
        <v>0.6</v>
      </c>
    </row>
    <row r="8" spans="3:8" x14ac:dyDescent="0.25">
      <c r="C8" s="83" t="s">
        <v>102</v>
      </c>
      <c r="D8" s="23">
        <v>7.0000000000000007E-2</v>
      </c>
      <c r="E8" s="22"/>
    </row>
    <row r="9" spans="3:8" x14ac:dyDescent="0.25">
      <c r="C9" s="83" t="s">
        <v>268</v>
      </c>
      <c r="D9" s="22">
        <v>10</v>
      </c>
      <c r="E9" s="22" t="s">
        <v>103</v>
      </c>
    </row>
    <row r="14" spans="3:8" x14ac:dyDescent="0.25">
      <c r="C14" s="82" t="s">
        <v>268</v>
      </c>
      <c r="D14" s="82" t="s">
        <v>104</v>
      </c>
      <c r="E14" s="82" t="s">
        <v>261</v>
      </c>
      <c r="F14" s="82" t="s">
        <v>195</v>
      </c>
      <c r="G14" s="82" t="s">
        <v>105</v>
      </c>
      <c r="H14" s="83" t="s">
        <v>218</v>
      </c>
    </row>
    <row r="15" spans="3:8" x14ac:dyDescent="0.25">
      <c r="C15" s="82">
        <v>1</v>
      </c>
      <c r="D15" s="119">
        <f>D7</f>
        <v>23314094.984372064</v>
      </c>
      <c r="E15" s="125">
        <f>$D$8*D15</f>
        <v>1631986.6489060447</v>
      </c>
      <c r="F15" s="125">
        <f>$D$7/$D$9</f>
        <v>2331409.4984372063</v>
      </c>
      <c r="G15" s="125">
        <f t="shared" ref="G15:G24" si="0">E15+F15</f>
        <v>3963396.1473432509</v>
      </c>
      <c r="H15" s="79">
        <f>D15-F15</f>
        <v>20982685.485934857</v>
      </c>
    </row>
    <row r="16" spans="3:8" x14ac:dyDescent="0.25">
      <c r="C16" s="82">
        <v>2</v>
      </c>
      <c r="D16" s="125">
        <f t="shared" ref="D16:D24" si="1">D15-F15</f>
        <v>20982685.485934857</v>
      </c>
      <c r="E16" s="125">
        <f t="shared" ref="E16:E24" si="2">$D$8*D16</f>
        <v>1468787.9840154401</v>
      </c>
      <c r="F16" s="125">
        <f>$D$7/$D$9</f>
        <v>2331409.4984372063</v>
      </c>
      <c r="G16" s="125">
        <f t="shared" si="0"/>
        <v>3800197.4824526464</v>
      </c>
      <c r="H16" s="79">
        <f>D16-F16</f>
        <v>18651275.98749765</v>
      </c>
    </row>
    <row r="17" spans="3:13" x14ac:dyDescent="0.25">
      <c r="C17" s="82">
        <v>3</v>
      </c>
      <c r="D17" s="125">
        <f t="shared" si="1"/>
        <v>18651275.98749765</v>
      </c>
      <c r="E17" s="125">
        <f t="shared" si="2"/>
        <v>1305589.3191248355</v>
      </c>
      <c r="F17" s="125">
        <f t="shared" ref="F17:F24" si="3">$D$7/$D$9</f>
        <v>2331409.4984372063</v>
      </c>
      <c r="G17" s="125">
        <f t="shared" si="0"/>
        <v>3636998.8175620418</v>
      </c>
      <c r="H17" s="79">
        <f t="shared" ref="H17:H24" si="4">D17-F17</f>
        <v>16319866.489060443</v>
      </c>
    </row>
    <row r="18" spans="3:13" x14ac:dyDescent="0.25">
      <c r="C18" s="82">
        <v>4</v>
      </c>
      <c r="D18" s="125">
        <f>D17-F17</f>
        <v>16319866.489060443</v>
      </c>
      <c r="E18" s="125">
        <f t="shared" si="2"/>
        <v>1142390.6542342312</v>
      </c>
      <c r="F18" s="125">
        <f t="shared" si="3"/>
        <v>2331409.4984372063</v>
      </c>
      <c r="G18" s="125">
        <f t="shared" si="0"/>
        <v>3473800.1526714377</v>
      </c>
      <c r="H18" s="79">
        <f t="shared" si="4"/>
        <v>13988456.990623236</v>
      </c>
    </row>
    <row r="19" spans="3:13" x14ac:dyDescent="0.25">
      <c r="C19" s="82">
        <v>5</v>
      </c>
      <c r="D19" s="125">
        <f t="shared" si="1"/>
        <v>13988456.990623236</v>
      </c>
      <c r="E19" s="125">
        <f t="shared" si="2"/>
        <v>979191.98934362654</v>
      </c>
      <c r="F19" s="125">
        <f t="shared" si="3"/>
        <v>2331409.4984372063</v>
      </c>
      <c r="G19" s="125">
        <f t="shared" si="0"/>
        <v>3310601.4877808327</v>
      </c>
      <c r="H19" s="79">
        <f t="shared" si="4"/>
        <v>11657047.492186029</v>
      </c>
    </row>
    <row r="20" spans="3:13" x14ac:dyDescent="0.25">
      <c r="C20" s="82">
        <v>6</v>
      </c>
      <c r="D20" s="125">
        <f t="shared" si="1"/>
        <v>11657047.492186029</v>
      </c>
      <c r="E20" s="125">
        <f t="shared" si="2"/>
        <v>815993.3244530221</v>
      </c>
      <c r="F20" s="125">
        <f>$D$7/$D$9</f>
        <v>2331409.4984372063</v>
      </c>
      <c r="G20" s="125">
        <f t="shared" si="0"/>
        <v>3147402.8228902286</v>
      </c>
      <c r="H20" s="79">
        <f t="shared" si="4"/>
        <v>9325637.9937488213</v>
      </c>
    </row>
    <row r="21" spans="3:13" x14ac:dyDescent="0.25">
      <c r="C21" s="82">
        <v>7</v>
      </c>
      <c r="D21" s="125">
        <f t="shared" si="1"/>
        <v>9325637.9937488213</v>
      </c>
      <c r="E21" s="125">
        <f t="shared" si="2"/>
        <v>652794.65956241754</v>
      </c>
      <c r="F21" s="125">
        <f t="shared" si="3"/>
        <v>2331409.4984372063</v>
      </c>
      <c r="G21" s="125">
        <f t="shared" si="0"/>
        <v>2984204.1579996236</v>
      </c>
      <c r="H21" s="79">
        <f t="shared" si="4"/>
        <v>6994228.4953116151</v>
      </c>
    </row>
    <row r="22" spans="3:13" x14ac:dyDescent="0.25">
      <c r="C22" s="82">
        <v>8</v>
      </c>
      <c r="D22" s="125">
        <f t="shared" si="1"/>
        <v>6994228.4953116151</v>
      </c>
      <c r="E22" s="125">
        <f t="shared" si="2"/>
        <v>489595.9946718131</v>
      </c>
      <c r="F22" s="125">
        <f t="shared" si="3"/>
        <v>2331409.4984372063</v>
      </c>
      <c r="G22" s="125">
        <f t="shared" si="0"/>
        <v>2821005.4931090195</v>
      </c>
      <c r="H22" s="79">
        <f>D22-F22</f>
        <v>4662818.9968744088</v>
      </c>
    </row>
    <row r="23" spans="3:13" x14ac:dyDescent="0.25">
      <c r="C23" s="82">
        <v>9</v>
      </c>
      <c r="D23" s="125">
        <f t="shared" si="1"/>
        <v>4662818.9968744088</v>
      </c>
      <c r="E23" s="125">
        <f t="shared" si="2"/>
        <v>326397.32978120865</v>
      </c>
      <c r="F23" s="125">
        <f t="shared" si="3"/>
        <v>2331409.4984372063</v>
      </c>
      <c r="G23" s="125">
        <f t="shared" si="0"/>
        <v>2657806.8282184149</v>
      </c>
      <c r="H23" s="79">
        <f t="shared" si="4"/>
        <v>2331409.4984372025</v>
      </c>
    </row>
    <row r="24" spans="3:13" x14ac:dyDescent="0.25">
      <c r="C24" s="82">
        <v>10</v>
      </c>
      <c r="D24" s="125">
        <f t="shared" si="1"/>
        <v>2331409.4984372025</v>
      </c>
      <c r="E24" s="125">
        <f t="shared" si="2"/>
        <v>163198.66489060418</v>
      </c>
      <c r="F24" s="125">
        <f t="shared" si="3"/>
        <v>2331409.4984372063</v>
      </c>
      <c r="G24" s="125">
        <f t="shared" si="0"/>
        <v>2494608.1633278104</v>
      </c>
      <c r="H24" s="79">
        <f t="shared" si="4"/>
        <v>-3.7252902984619141E-9</v>
      </c>
    </row>
    <row r="25" spans="3:13" x14ac:dyDescent="0.25">
      <c r="D25" s="77"/>
      <c r="E25" s="77"/>
      <c r="F25" s="126">
        <f>SUM(F15:F24)</f>
        <v>23314094.984372068</v>
      </c>
      <c r="G25" s="77"/>
      <c r="H25" s="77"/>
    </row>
    <row r="28" spans="3:13" x14ac:dyDescent="0.25">
      <c r="D28" s="88">
        <v>1</v>
      </c>
      <c r="E28" s="88">
        <v>2</v>
      </c>
      <c r="F28" s="88">
        <v>3</v>
      </c>
      <c r="G28" s="88">
        <v>4</v>
      </c>
      <c r="H28" s="88">
        <v>5</v>
      </c>
      <c r="I28" s="88">
        <v>6</v>
      </c>
      <c r="J28" s="88">
        <v>7</v>
      </c>
      <c r="K28" s="88">
        <v>8</v>
      </c>
      <c r="L28" s="88">
        <v>9</v>
      </c>
      <c r="M28" s="88">
        <v>10</v>
      </c>
    </row>
    <row r="29" spans="3:13" x14ac:dyDescent="0.25">
      <c r="C29" s="123" t="s">
        <v>267</v>
      </c>
      <c r="D29" s="124">
        <f>E15</f>
        <v>1631986.6489060447</v>
      </c>
      <c r="E29" s="124">
        <f>E16</f>
        <v>1468787.9840154401</v>
      </c>
      <c r="F29" s="124">
        <f>E17</f>
        <v>1305589.3191248355</v>
      </c>
      <c r="G29" s="124">
        <f>E18</f>
        <v>1142390.6542342312</v>
      </c>
      <c r="H29" s="124">
        <f>E19</f>
        <v>979191.98934362654</v>
      </c>
      <c r="I29" s="124">
        <f>E20</f>
        <v>815993.3244530221</v>
      </c>
      <c r="J29" s="124">
        <f>E21</f>
        <v>652794.65956241754</v>
      </c>
      <c r="K29" s="124">
        <f>E22</f>
        <v>489595.9946718131</v>
      </c>
      <c r="L29" s="124">
        <f>E23</f>
        <v>326397.32978120865</v>
      </c>
      <c r="M29" s="124">
        <f>E24</f>
        <v>163198.66489060418</v>
      </c>
    </row>
  </sheetData>
  <mergeCells count="2">
    <mergeCell ref="C5:E5"/>
    <mergeCell ref="C6:E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52"/>
  <sheetViews>
    <sheetView topLeftCell="A22" zoomScale="85" zoomScaleNormal="85" workbookViewId="0">
      <selection activeCell="G51" sqref="G51"/>
    </sheetView>
  </sheetViews>
  <sheetFormatPr baseColWidth="10" defaultRowHeight="15" x14ac:dyDescent="0.25"/>
  <cols>
    <col min="6" max="6" width="11.42578125" customWidth="1"/>
    <col min="7" max="7" width="17.5703125" customWidth="1"/>
    <col min="8" max="8" width="13.140625" bestFit="1" customWidth="1"/>
    <col min="9" max="9" width="20.28515625" bestFit="1" customWidth="1"/>
    <col min="10" max="18" width="13.140625" bestFit="1" customWidth="1"/>
    <col min="19" max="23" width="13.7109375" bestFit="1" customWidth="1"/>
    <col min="24" max="26" width="15.28515625" bestFit="1" customWidth="1"/>
  </cols>
  <sheetData>
    <row r="2" spans="1:26" x14ac:dyDescent="0.25">
      <c r="A2" s="314" t="s">
        <v>262</v>
      </c>
      <c r="B2" s="314"/>
      <c r="F2" s="26" t="s">
        <v>191</v>
      </c>
      <c r="G2" s="85">
        <v>1.03</v>
      </c>
      <c r="H2" s="85">
        <v>1.05</v>
      </c>
      <c r="I2" s="85">
        <v>1.1000000000000001</v>
      </c>
      <c r="J2" s="85">
        <v>0.97</v>
      </c>
      <c r="K2" s="85">
        <v>0.95</v>
      </c>
      <c r="L2" s="85">
        <v>0.9</v>
      </c>
      <c r="M2" s="85">
        <v>1.1499999999999999</v>
      </c>
      <c r="N2" s="85">
        <v>1.2</v>
      </c>
    </row>
    <row r="3" spans="1:26" x14ac:dyDescent="0.25">
      <c r="A3" s="314"/>
      <c r="B3" s="314"/>
      <c r="F3" s="26" t="s">
        <v>107</v>
      </c>
      <c r="G3" s="85">
        <v>0.97</v>
      </c>
      <c r="H3" s="85">
        <v>0.94</v>
      </c>
      <c r="I3" s="85">
        <v>0.91</v>
      </c>
      <c r="J3" s="85">
        <v>1.03</v>
      </c>
      <c r="K3" s="85">
        <v>1.06</v>
      </c>
      <c r="L3" s="85">
        <v>1.0900000000000001</v>
      </c>
      <c r="M3" s="85">
        <v>0.85</v>
      </c>
      <c r="N3" s="85">
        <v>0.8</v>
      </c>
    </row>
    <row r="4" spans="1:26" x14ac:dyDescent="0.25">
      <c r="A4" s="11"/>
      <c r="B4" s="11"/>
    </row>
    <row r="5" spans="1:26" x14ac:dyDescent="0.25">
      <c r="G5" s="87">
        <v>1</v>
      </c>
      <c r="H5" s="87">
        <v>2</v>
      </c>
      <c r="I5" s="87">
        <v>3</v>
      </c>
      <c r="J5" s="87">
        <v>4</v>
      </c>
      <c r="K5" s="87">
        <v>5</v>
      </c>
      <c r="L5" s="87">
        <v>6</v>
      </c>
      <c r="M5" s="87">
        <v>7</v>
      </c>
      <c r="N5" s="87">
        <v>8</v>
      </c>
      <c r="O5" s="87">
        <v>9</v>
      </c>
      <c r="P5" s="87">
        <v>10</v>
      </c>
      <c r="Q5" s="87">
        <v>11</v>
      </c>
      <c r="R5" s="87">
        <v>12</v>
      </c>
      <c r="S5" s="87">
        <v>13</v>
      </c>
      <c r="T5" s="87">
        <v>14</v>
      </c>
      <c r="U5" s="87">
        <v>15</v>
      </c>
      <c r="V5" s="87">
        <v>16</v>
      </c>
      <c r="W5" s="87">
        <v>17</v>
      </c>
      <c r="X5" s="87">
        <v>18</v>
      </c>
      <c r="Y5" s="87">
        <v>19</v>
      </c>
      <c r="Z5" s="87">
        <v>20</v>
      </c>
    </row>
    <row r="6" spans="1:26" x14ac:dyDescent="0.25">
      <c r="B6" s="305"/>
      <c r="C6" s="305"/>
      <c r="D6" s="305"/>
      <c r="E6" s="305"/>
      <c r="F6" s="305"/>
      <c r="G6" s="122" t="s">
        <v>20</v>
      </c>
      <c r="H6" s="122" t="s">
        <v>21</v>
      </c>
      <c r="I6" s="122" t="s">
        <v>22</v>
      </c>
      <c r="J6" s="122" t="s">
        <v>23</v>
      </c>
      <c r="K6" s="122" t="s">
        <v>24</v>
      </c>
      <c r="L6" s="122" t="s">
        <v>25</v>
      </c>
      <c r="M6" s="122" t="s">
        <v>26</v>
      </c>
      <c r="N6" s="122" t="s">
        <v>27</v>
      </c>
      <c r="O6" s="122" t="s">
        <v>28</v>
      </c>
      <c r="P6" s="122" t="s">
        <v>29</v>
      </c>
      <c r="Q6" s="122" t="s">
        <v>30</v>
      </c>
      <c r="R6" s="122" t="s">
        <v>31</v>
      </c>
      <c r="S6" s="122" t="s">
        <v>32</v>
      </c>
      <c r="T6" s="122" t="s">
        <v>33</v>
      </c>
      <c r="U6" s="122" t="s">
        <v>34</v>
      </c>
      <c r="V6" s="122" t="s">
        <v>35</v>
      </c>
      <c r="W6" s="122" t="s">
        <v>36</v>
      </c>
      <c r="X6" s="122" t="s">
        <v>37</v>
      </c>
      <c r="Y6" s="122" t="s">
        <v>38</v>
      </c>
      <c r="Z6" s="122" t="s">
        <v>39</v>
      </c>
    </row>
    <row r="7" spans="1:26" x14ac:dyDescent="0.25">
      <c r="B7" s="336" t="s">
        <v>107</v>
      </c>
      <c r="C7" s="337"/>
      <c r="D7" s="337"/>
      <c r="E7" s="337"/>
      <c r="F7" s="338"/>
      <c r="G7" s="106">
        <f>(G8+G9)</f>
        <v>8327021.1682000002</v>
      </c>
      <c r="H7" s="206">
        <f t="shared" ref="H7:Z7" si="0">(H8+H9)</f>
        <v>8804766.4776774589</v>
      </c>
      <c r="I7" s="206">
        <f t="shared" si="0"/>
        <v>9557515.9834061004</v>
      </c>
      <c r="J7" s="206">
        <f t="shared" si="0"/>
        <v>10655858.734893871</v>
      </c>
      <c r="K7" s="206">
        <f t="shared" si="0"/>
        <v>12210896.887459265</v>
      </c>
      <c r="L7" s="206">
        <f t="shared" si="0"/>
        <v>14393646.311238242</v>
      </c>
      <c r="M7" s="206">
        <f t="shared" si="0"/>
        <v>17466974.464557342</v>
      </c>
      <c r="N7" s="206">
        <f t="shared" si="0"/>
        <v>21838415.978921354</v>
      </c>
      <c r="O7" s="206">
        <f t="shared" si="0"/>
        <v>28148582.682534892</v>
      </c>
      <c r="P7" s="206">
        <f t="shared" si="0"/>
        <v>37421504.909309372</v>
      </c>
      <c r="Q7" s="206">
        <f t="shared" si="0"/>
        <v>51324824.640214555</v>
      </c>
      <c r="R7" s="206">
        <f t="shared" si="0"/>
        <v>72628600.300295055</v>
      </c>
      <c r="S7" s="206">
        <f t="shared" si="0"/>
        <v>106030205.61775921</v>
      </c>
      <c r="T7" s="206">
        <f t="shared" si="0"/>
        <v>159667443.20362821</v>
      </c>
      <c r="U7" s="206">
        <f t="shared" si="0"/>
        <v>247951656.83095938</v>
      </c>
      <c r="V7" s="206">
        <f t="shared" si="0"/>
        <v>396985017.21106541</v>
      </c>
      <c r="W7" s="206">
        <f t="shared" si="0"/>
        <v>397037179.38426745</v>
      </c>
      <c r="X7" s="206">
        <f t="shared" si="0"/>
        <v>397091010.7470119</v>
      </c>
      <c r="Y7" s="206">
        <f t="shared" si="0"/>
        <v>397146564.71336424</v>
      </c>
      <c r="Z7" s="206">
        <f t="shared" si="0"/>
        <v>397203896.40663981</v>
      </c>
    </row>
    <row r="8" spans="1:26" x14ac:dyDescent="0.25">
      <c r="B8" s="351" t="s">
        <v>220</v>
      </c>
      <c r="C8" s="351"/>
      <c r="D8" s="351"/>
      <c r="E8" s="351"/>
      <c r="F8" s="351"/>
      <c r="G8" s="94">
        <f>Ingresos!E82</f>
        <v>7310748.5153999999</v>
      </c>
      <c r="H8" s="205">
        <f>Ingresos!F82</f>
        <v>7755973.0999878589</v>
      </c>
      <c r="I8" s="205">
        <f>Ingresos!G82</f>
        <v>8475161.2176304329</v>
      </c>
      <c r="J8" s="205">
        <f>Ingresos!H82</f>
        <v>9538868.6166133825</v>
      </c>
      <c r="K8" s="205">
        <f>Ingresos!I82</f>
        <v>11058163.085393801</v>
      </c>
      <c r="L8" s="205">
        <f>Ingresos!J82</f>
        <v>13204025.027506683</v>
      </c>
      <c r="M8" s="205">
        <f>Ingresos!K82</f>
        <v>16239285.299746372</v>
      </c>
      <c r="N8" s="205">
        <f>Ingresos!L82</f>
        <v>20571440.760836434</v>
      </c>
      <c r="O8" s="205">
        <f>Ingresos!M82</f>
        <v>26841064.257471256</v>
      </c>
      <c r="P8" s="205">
        <f>Ingresos!N82</f>
        <v>36072145.894643702</v>
      </c>
      <c r="Q8" s="205">
        <f>Ingresos!O82</f>
        <v>49932286.137079582</v>
      </c>
      <c r="R8" s="205">
        <f>Ingresos!P82</f>
        <v>71191500.565059766</v>
      </c>
      <c r="S8" s="205">
        <f>Ingresos!Q82</f>
        <v>104547118.69099639</v>
      </c>
      <c r="T8" s="205">
        <f>Ingresos!R82</f>
        <v>158136897.49520898</v>
      </c>
      <c r="U8" s="205">
        <f>Ingresos!S82</f>
        <v>246372133.65987074</v>
      </c>
      <c r="V8" s="205">
        <f>Ingresos!T82</f>
        <v>395354949.29850191</v>
      </c>
      <c r="W8" s="205">
        <f>Ingresos!U82</f>
        <v>395354949.29850191</v>
      </c>
      <c r="X8" s="205">
        <f>Ingresos!V82</f>
        <v>395354949.29850191</v>
      </c>
      <c r="Y8" s="205">
        <f>Ingresos!W82</f>
        <v>395354949.29850191</v>
      </c>
      <c r="Z8" s="205">
        <f>Ingresos!X82</f>
        <v>395354949.29850191</v>
      </c>
    </row>
    <row r="9" spans="1:26" x14ac:dyDescent="0.25">
      <c r="B9" s="351" t="s">
        <v>108</v>
      </c>
      <c r="C9" s="351"/>
      <c r="D9" s="351"/>
      <c r="E9" s="351"/>
      <c r="F9" s="351"/>
      <c r="G9" s="94">
        <f>Ingresos!E83</f>
        <v>1016272.6527999999</v>
      </c>
      <c r="H9" s="94">
        <f>Ingresos!F83</f>
        <v>1048793.3776896</v>
      </c>
      <c r="I9" s="94">
        <f>Ingresos!G83</f>
        <v>1082354.765775667</v>
      </c>
      <c r="J9" s="94">
        <f>Ingresos!H83</f>
        <v>1116990.1182804885</v>
      </c>
      <c r="K9" s="94">
        <f>Ingresos!I83</f>
        <v>1152733.8020654642</v>
      </c>
      <c r="L9" s="94">
        <f>Ingresos!J83</f>
        <v>1189621.2837315593</v>
      </c>
      <c r="M9" s="94">
        <f>Ingresos!K83</f>
        <v>1227689.164810969</v>
      </c>
      <c r="N9" s="94">
        <f>Ingresos!L83</f>
        <v>1266975.2180849202</v>
      </c>
      <c r="O9" s="94">
        <f>Ingresos!M83</f>
        <v>1307518.4250636376</v>
      </c>
      <c r="P9" s="94">
        <f>Ingresos!N83</f>
        <v>1349359.014665674</v>
      </c>
      <c r="Q9" s="94">
        <f>Ingresos!O83</f>
        <v>1392538.5031349757</v>
      </c>
      <c r="R9" s="94">
        <f>Ingresos!P83</f>
        <v>1437099.7352352948</v>
      </c>
      <c r="S9" s="94">
        <f>Ingresos!Q83</f>
        <v>1483086.9267628242</v>
      </c>
      <c r="T9" s="94">
        <f>Ingresos!R83</f>
        <v>1530545.7084192347</v>
      </c>
      <c r="U9" s="94">
        <f>Ingresos!S83</f>
        <v>1579523.1710886501</v>
      </c>
      <c r="V9" s="94">
        <f>Ingresos!T83</f>
        <v>1630067.9125634872</v>
      </c>
      <c r="W9" s="94">
        <f>Ingresos!U83</f>
        <v>1682230.0857655189</v>
      </c>
      <c r="X9" s="94">
        <f>Ingresos!V83</f>
        <v>1736061.4485100156</v>
      </c>
      <c r="Y9" s="94">
        <f>Ingresos!W83</f>
        <v>1791615.4148623361</v>
      </c>
      <c r="Z9" s="94">
        <f>Ingresos!X83</f>
        <v>1848947.108137931</v>
      </c>
    </row>
    <row r="10" spans="1:26" x14ac:dyDescent="0.25">
      <c r="B10" s="356" t="s">
        <v>221</v>
      </c>
      <c r="C10" s="357"/>
      <c r="D10" s="357"/>
      <c r="E10" s="357"/>
      <c r="F10" s="358"/>
      <c r="G10" s="106">
        <f>(G11+G12)</f>
        <v>1927665.1558126726</v>
      </c>
      <c r="H10" s="206">
        <f t="shared" ref="H10:Z10" si="1">(H11+H12)</f>
        <v>1940854.8394126724</v>
      </c>
      <c r="I10" s="206">
        <f t="shared" si="1"/>
        <v>1954440.2135206724</v>
      </c>
      <c r="J10" s="206">
        <f t="shared" si="1"/>
        <v>1968433.1488519125</v>
      </c>
      <c r="K10" s="206">
        <f t="shared" si="1"/>
        <v>1982845.8722430896</v>
      </c>
      <c r="L10" s="206">
        <f t="shared" si="1"/>
        <v>1997690.9773360023</v>
      </c>
      <c r="M10" s="206">
        <f t="shared" si="1"/>
        <v>2012981.4355817023</v>
      </c>
      <c r="N10" s="206">
        <f t="shared" si="1"/>
        <v>2028730.607574773</v>
      </c>
      <c r="O10" s="206">
        <f t="shared" si="1"/>
        <v>2044952.254727636</v>
      </c>
      <c r="P10" s="206">
        <f t="shared" si="1"/>
        <v>2061660.5512950849</v>
      </c>
      <c r="Q10" s="206">
        <f t="shared" si="1"/>
        <v>2078870.0967595573</v>
      </c>
      <c r="R10" s="206">
        <f t="shared" si="1"/>
        <v>2096595.9285879638</v>
      </c>
      <c r="S10" s="206">
        <f t="shared" si="1"/>
        <v>2114853.5353712225</v>
      </c>
      <c r="T10" s="206">
        <f t="shared" si="1"/>
        <v>2133658.8703579791</v>
      </c>
      <c r="U10" s="206">
        <f t="shared" si="1"/>
        <v>2153028.3653943385</v>
      </c>
      <c r="V10" s="206">
        <f t="shared" si="1"/>
        <v>2172978.9452817887</v>
      </c>
      <c r="W10" s="206">
        <f t="shared" si="1"/>
        <v>2193528.0425658617</v>
      </c>
      <c r="X10" s="206">
        <f t="shared" si="1"/>
        <v>2214693.6127684577</v>
      </c>
      <c r="Y10" s="206">
        <f t="shared" si="1"/>
        <v>2236494.1500771311</v>
      </c>
      <c r="Z10" s="206">
        <f t="shared" si="1"/>
        <v>2258948.7035050653</v>
      </c>
    </row>
    <row r="11" spans="1:26" x14ac:dyDescent="0.25">
      <c r="B11" s="351" t="s">
        <v>109</v>
      </c>
      <c r="C11" s="351"/>
      <c r="D11" s="351"/>
      <c r="E11" s="351"/>
      <c r="F11" s="351"/>
      <c r="G11" s="94">
        <f>'C. variables y otros'!D10</f>
        <v>439656.12000000005</v>
      </c>
      <c r="H11" s="94">
        <f>'C. variables y otros'!E10</f>
        <v>452845.80360000004</v>
      </c>
      <c r="I11" s="94">
        <f>'C. variables y otros'!F10</f>
        <v>466431.177708</v>
      </c>
      <c r="J11" s="94">
        <f>'C. variables y otros'!G10</f>
        <v>480424.11303924001</v>
      </c>
      <c r="K11" s="94">
        <f>'C. variables y otros'!H10</f>
        <v>494836.8364304172</v>
      </c>
      <c r="L11" s="94">
        <f>'C. variables y otros'!I10</f>
        <v>509681.94152332976</v>
      </c>
      <c r="M11" s="94">
        <f>'C. variables y otros'!J10</f>
        <v>524972.3997690297</v>
      </c>
      <c r="N11" s="94">
        <f>'C. variables y otros'!K10</f>
        <v>540721.57176210056</v>
      </c>
      <c r="O11" s="94">
        <f>'C. variables y otros'!L10</f>
        <v>556943.21891496365</v>
      </c>
      <c r="P11" s="94">
        <f>'C. variables y otros'!M10</f>
        <v>573651.51548241253</v>
      </c>
      <c r="Q11" s="94">
        <f>'C. variables y otros'!N10</f>
        <v>590861.06094688491</v>
      </c>
      <c r="R11" s="94">
        <f>'C. variables y otros'!O10</f>
        <v>608586.89277529146</v>
      </c>
      <c r="S11" s="94">
        <f>'C. variables y otros'!P10</f>
        <v>626844.49955855031</v>
      </c>
      <c r="T11" s="94">
        <f>'C. variables y otros'!Q10</f>
        <v>645649.83454530674</v>
      </c>
      <c r="U11" s="94">
        <f>'C. variables y otros'!R10</f>
        <v>665019.32958166604</v>
      </c>
      <c r="V11" s="94">
        <f>'C. variables y otros'!S10</f>
        <v>684969.90946911601</v>
      </c>
      <c r="W11" s="94">
        <f>'C. variables y otros'!T10</f>
        <v>705519.00675318949</v>
      </c>
      <c r="X11" s="94">
        <f>'C. variables y otros'!U10</f>
        <v>726684.57695578528</v>
      </c>
      <c r="Y11" s="94">
        <f>'C. variables y otros'!V10</f>
        <v>748485.11426445877</v>
      </c>
      <c r="Z11" s="94">
        <f>'C. variables y otros'!W10</f>
        <v>770939.6676923926</v>
      </c>
    </row>
    <row r="12" spans="1:26" x14ac:dyDescent="0.25">
      <c r="B12" s="351" t="s">
        <v>46</v>
      </c>
      <c r="C12" s="351"/>
      <c r="D12" s="351"/>
      <c r="E12" s="351"/>
      <c r="F12" s="351"/>
      <c r="G12" s="94">
        <f>'C. variables y otros'!D11</f>
        <v>1488009.0358126725</v>
      </c>
      <c r="H12" s="94">
        <f>'C. variables y otros'!E11</f>
        <v>1488009.0358126725</v>
      </c>
      <c r="I12" s="94">
        <f>'C. variables y otros'!F11</f>
        <v>1488009.0358126725</v>
      </c>
      <c r="J12" s="94">
        <f>'C. variables y otros'!G11</f>
        <v>1488009.0358126725</v>
      </c>
      <c r="K12" s="94">
        <f>'C. variables y otros'!H11</f>
        <v>1488009.0358126725</v>
      </c>
      <c r="L12" s="94">
        <f>'C. variables y otros'!I11</f>
        <v>1488009.0358126725</v>
      </c>
      <c r="M12" s="94">
        <f>'C. variables y otros'!J11</f>
        <v>1488009.0358126725</v>
      </c>
      <c r="N12" s="94">
        <f>'C. variables y otros'!K11</f>
        <v>1488009.0358126725</v>
      </c>
      <c r="O12" s="94">
        <f>'C. variables y otros'!L11</f>
        <v>1488009.0358126725</v>
      </c>
      <c r="P12" s="94">
        <f>'C. variables y otros'!M11</f>
        <v>1488009.0358126725</v>
      </c>
      <c r="Q12" s="94">
        <f>'C. variables y otros'!N11</f>
        <v>1488009.0358126725</v>
      </c>
      <c r="R12" s="94">
        <f>'C. variables y otros'!O11</f>
        <v>1488009.0358126725</v>
      </c>
      <c r="S12" s="94">
        <f>'C. variables y otros'!P11</f>
        <v>1488009.0358126725</v>
      </c>
      <c r="T12" s="94">
        <f>'C. variables y otros'!Q11</f>
        <v>1488009.0358126725</v>
      </c>
      <c r="U12" s="94">
        <f>'C. variables y otros'!R11</f>
        <v>1488009.0358126725</v>
      </c>
      <c r="V12" s="94">
        <f>'C. variables y otros'!S11</f>
        <v>1488009.0358126725</v>
      </c>
      <c r="W12" s="94">
        <f>'C. variables y otros'!T11</f>
        <v>1488009.0358126725</v>
      </c>
      <c r="X12" s="94">
        <f>'C. variables y otros'!U11</f>
        <v>1488009.0358126725</v>
      </c>
      <c r="Y12" s="94">
        <f>'C. variables y otros'!V11</f>
        <v>1488009.0358126725</v>
      </c>
      <c r="Z12" s="94">
        <f>'C. variables y otros'!W11</f>
        <v>1488009.0358126725</v>
      </c>
    </row>
    <row r="13" spans="1:26" ht="15" customHeight="1" x14ac:dyDescent="0.25">
      <c r="B13" s="336" t="s">
        <v>49</v>
      </c>
      <c r="C13" s="337"/>
      <c r="D13" s="337"/>
      <c r="E13" s="337"/>
      <c r="F13" s="338"/>
      <c r="G13" s="106">
        <f t="shared" ref="G13:Z13" si="2">SUM(G14:G20)</f>
        <v>731741.80716253445</v>
      </c>
      <c r="H13" s="106">
        <f t="shared" si="2"/>
        <v>731741.80716253445</v>
      </c>
      <c r="I13" s="106">
        <f t="shared" si="2"/>
        <v>731741.80716253445</v>
      </c>
      <c r="J13" s="106">
        <f t="shared" si="2"/>
        <v>731741.80716253445</v>
      </c>
      <c r="K13" s="106">
        <f t="shared" si="2"/>
        <v>731741.80716253445</v>
      </c>
      <c r="L13" s="106">
        <f t="shared" si="2"/>
        <v>731741.80716253445</v>
      </c>
      <c r="M13" s="106">
        <f t="shared" si="2"/>
        <v>731741.80716253445</v>
      </c>
      <c r="N13" s="106">
        <f t="shared" si="2"/>
        <v>731741.80716253445</v>
      </c>
      <c r="O13" s="106">
        <f t="shared" si="2"/>
        <v>731741.80716253445</v>
      </c>
      <c r="P13" s="106">
        <f t="shared" si="2"/>
        <v>731741.80716253445</v>
      </c>
      <c r="Q13" s="106">
        <f t="shared" si="2"/>
        <v>731741.80716253445</v>
      </c>
      <c r="R13" s="106">
        <f t="shared" si="2"/>
        <v>731741.80716253445</v>
      </c>
      <c r="S13" s="106">
        <f t="shared" si="2"/>
        <v>731741.80716253445</v>
      </c>
      <c r="T13" s="106">
        <f t="shared" si="2"/>
        <v>731741.80716253445</v>
      </c>
      <c r="U13" s="106">
        <f t="shared" si="2"/>
        <v>731741.80716253445</v>
      </c>
      <c r="V13" s="106">
        <f t="shared" si="2"/>
        <v>731741.80716253445</v>
      </c>
      <c r="W13" s="106">
        <f t="shared" si="2"/>
        <v>731741.80716253445</v>
      </c>
      <c r="X13" s="106">
        <f t="shared" si="2"/>
        <v>731741.80716253445</v>
      </c>
      <c r="Y13" s="106">
        <f t="shared" si="2"/>
        <v>731741.80716253445</v>
      </c>
      <c r="Z13" s="106">
        <f t="shared" si="2"/>
        <v>731741.80716253445</v>
      </c>
    </row>
    <row r="14" spans="1:26" x14ac:dyDescent="0.25">
      <c r="B14" s="351" t="s">
        <v>50</v>
      </c>
      <c r="C14" s="351"/>
      <c r="D14" s="351"/>
      <c r="E14" s="351"/>
      <c r="F14" s="351"/>
      <c r="G14" s="94">
        <f>'C. variables y otros'!C48</f>
        <v>105000</v>
      </c>
      <c r="H14" s="94">
        <f>+G14</f>
        <v>105000</v>
      </c>
      <c r="I14" s="94">
        <f t="shared" ref="I14:Z20" si="3">+H14</f>
        <v>105000</v>
      </c>
      <c r="J14" s="94">
        <f t="shared" si="3"/>
        <v>105000</v>
      </c>
      <c r="K14" s="94">
        <f t="shared" si="3"/>
        <v>105000</v>
      </c>
      <c r="L14" s="94">
        <f t="shared" si="3"/>
        <v>105000</v>
      </c>
      <c r="M14" s="94">
        <f t="shared" si="3"/>
        <v>105000</v>
      </c>
      <c r="N14" s="94">
        <f t="shared" si="3"/>
        <v>105000</v>
      </c>
      <c r="O14" s="94">
        <f t="shared" si="3"/>
        <v>105000</v>
      </c>
      <c r="P14" s="94">
        <f t="shared" si="3"/>
        <v>105000</v>
      </c>
      <c r="Q14" s="94">
        <f t="shared" si="3"/>
        <v>105000</v>
      </c>
      <c r="R14" s="94">
        <f t="shared" si="3"/>
        <v>105000</v>
      </c>
      <c r="S14" s="94">
        <f t="shared" si="3"/>
        <v>105000</v>
      </c>
      <c r="T14" s="94">
        <f t="shared" si="3"/>
        <v>105000</v>
      </c>
      <c r="U14" s="94">
        <f t="shared" si="3"/>
        <v>105000</v>
      </c>
      <c r="V14" s="94">
        <f t="shared" si="3"/>
        <v>105000</v>
      </c>
      <c r="W14" s="94">
        <f t="shared" si="3"/>
        <v>105000</v>
      </c>
      <c r="X14" s="94">
        <f t="shared" si="3"/>
        <v>105000</v>
      </c>
      <c r="Y14" s="94">
        <f t="shared" si="3"/>
        <v>105000</v>
      </c>
      <c r="Z14" s="94">
        <f t="shared" si="3"/>
        <v>105000</v>
      </c>
    </row>
    <row r="15" spans="1:26" x14ac:dyDescent="0.25">
      <c r="B15" s="351" t="s">
        <v>202</v>
      </c>
      <c r="C15" s="351"/>
      <c r="D15" s="351"/>
      <c r="E15" s="351"/>
      <c r="F15" s="351"/>
      <c r="G15" s="94">
        <f>'C. variables y otros'!C49</f>
        <v>64800</v>
      </c>
      <c r="H15" s="94">
        <f t="shared" ref="H15:W20" si="4">+G15</f>
        <v>64800</v>
      </c>
      <c r="I15" s="94">
        <f t="shared" si="4"/>
        <v>64800</v>
      </c>
      <c r="J15" s="94">
        <f t="shared" si="4"/>
        <v>64800</v>
      </c>
      <c r="K15" s="94">
        <f t="shared" si="4"/>
        <v>64800</v>
      </c>
      <c r="L15" s="94">
        <f t="shared" si="4"/>
        <v>64800</v>
      </c>
      <c r="M15" s="94">
        <f t="shared" si="4"/>
        <v>64800</v>
      </c>
      <c r="N15" s="94">
        <f t="shared" si="4"/>
        <v>64800</v>
      </c>
      <c r="O15" s="94">
        <f t="shared" si="4"/>
        <v>64800</v>
      </c>
      <c r="P15" s="94">
        <f t="shared" si="4"/>
        <v>64800</v>
      </c>
      <c r="Q15" s="94">
        <f t="shared" si="4"/>
        <v>64800</v>
      </c>
      <c r="R15" s="94">
        <f t="shared" si="4"/>
        <v>64800</v>
      </c>
      <c r="S15" s="94">
        <f t="shared" si="4"/>
        <v>64800</v>
      </c>
      <c r="T15" s="94">
        <f t="shared" si="4"/>
        <v>64800</v>
      </c>
      <c r="U15" s="94">
        <f t="shared" si="4"/>
        <v>64800</v>
      </c>
      <c r="V15" s="94">
        <f t="shared" si="4"/>
        <v>64800</v>
      </c>
      <c r="W15" s="94">
        <f t="shared" si="4"/>
        <v>64800</v>
      </c>
      <c r="X15" s="94">
        <f t="shared" si="3"/>
        <v>64800</v>
      </c>
      <c r="Y15" s="94">
        <f t="shared" si="3"/>
        <v>64800</v>
      </c>
      <c r="Z15" s="94">
        <f t="shared" si="3"/>
        <v>64800</v>
      </c>
    </row>
    <row r="16" spans="1:26" x14ac:dyDescent="0.25">
      <c r="B16" s="351" t="s">
        <v>51</v>
      </c>
      <c r="C16" s="351"/>
      <c r="D16" s="351"/>
      <c r="E16" s="351"/>
      <c r="F16" s="351"/>
      <c r="G16" s="94">
        <f>'C. variables y otros'!C50</f>
        <v>35800</v>
      </c>
      <c r="H16" s="94">
        <f t="shared" si="4"/>
        <v>35800</v>
      </c>
      <c r="I16" s="94">
        <f t="shared" si="3"/>
        <v>35800</v>
      </c>
      <c r="J16" s="94">
        <f t="shared" si="3"/>
        <v>35800</v>
      </c>
      <c r="K16" s="94">
        <f t="shared" si="3"/>
        <v>35800</v>
      </c>
      <c r="L16" s="94">
        <f t="shared" si="3"/>
        <v>35800</v>
      </c>
      <c r="M16" s="94">
        <f t="shared" si="3"/>
        <v>35800</v>
      </c>
      <c r="N16" s="94">
        <f t="shared" si="3"/>
        <v>35800</v>
      </c>
      <c r="O16" s="94">
        <f t="shared" si="3"/>
        <v>35800</v>
      </c>
      <c r="P16" s="94">
        <f t="shared" si="3"/>
        <v>35800</v>
      </c>
      <c r="Q16" s="94">
        <f t="shared" si="3"/>
        <v>35800</v>
      </c>
      <c r="R16" s="94">
        <f t="shared" si="3"/>
        <v>35800</v>
      </c>
      <c r="S16" s="94">
        <f t="shared" si="3"/>
        <v>35800</v>
      </c>
      <c r="T16" s="94">
        <f t="shared" si="3"/>
        <v>35800</v>
      </c>
      <c r="U16" s="94">
        <f t="shared" si="3"/>
        <v>35800</v>
      </c>
      <c r="V16" s="94">
        <f t="shared" si="3"/>
        <v>35800</v>
      </c>
      <c r="W16" s="94">
        <f t="shared" si="3"/>
        <v>35800</v>
      </c>
      <c r="X16" s="94">
        <f t="shared" si="3"/>
        <v>35800</v>
      </c>
      <c r="Y16" s="94">
        <f t="shared" si="3"/>
        <v>35800</v>
      </c>
      <c r="Z16" s="94">
        <f t="shared" si="3"/>
        <v>35800</v>
      </c>
    </row>
    <row r="17" spans="1:26" x14ac:dyDescent="0.25">
      <c r="B17" s="351" t="s">
        <v>52</v>
      </c>
      <c r="C17" s="351"/>
      <c r="D17" s="351"/>
      <c r="E17" s="351"/>
      <c r="F17" s="351"/>
      <c r="G17" s="94">
        <f>'C. variables y otros'!C51</f>
        <v>25500</v>
      </c>
      <c r="H17" s="94">
        <f t="shared" si="4"/>
        <v>25500</v>
      </c>
      <c r="I17" s="94">
        <f t="shared" si="3"/>
        <v>25500</v>
      </c>
      <c r="J17" s="94">
        <f t="shared" si="3"/>
        <v>25500</v>
      </c>
      <c r="K17" s="94">
        <f t="shared" si="3"/>
        <v>25500</v>
      </c>
      <c r="L17" s="94">
        <f t="shared" si="3"/>
        <v>25500</v>
      </c>
      <c r="M17" s="94">
        <f t="shared" si="3"/>
        <v>25500</v>
      </c>
      <c r="N17" s="94">
        <f t="shared" si="3"/>
        <v>25500</v>
      </c>
      <c r="O17" s="94">
        <f t="shared" si="3"/>
        <v>25500</v>
      </c>
      <c r="P17" s="94">
        <f t="shared" si="3"/>
        <v>25500</v>
      </c>
      <c r="Q17" s="94">
        <f t="shared" si="3"/>
        <v>25500</v>
      </c>
      <c r="R17" s="94">
        <f t="shared" si="3"/>
        <v>25500</v>
      </c>
      <c r="S17" s="94">
        <f t="shared" si="3"/>
        <v>25500</v>
      </c>
      <c r="T17" s="94">
        <f t="shared" si="3"/>
        <v>25500</v>
      </c>
      <c r="U17" s="94">
        <f t="shared" si="3"/>
        <v>25500</v>
      </c>
      <c r="V17" s="94">
        <f t="shared" si="3"/>
        <v>25500</v>
      </c>
      <c r="W17" s="94">
        <f t="shared" si="3"/>
        <v>25500</v>
      </c>
      <c r="X17" s="94">
        <f t="shared" si="3"/>
        <v>25500</v>
      </c>
      <c r="Y17" s="94">
        <f t="shared" si="3"/>
        <v>25500</v>
      </c>
      <c r="Z17" s="94">
        <f t="shared" si="3"/>
        <v>25500</v>
      </c>
    </row>
    <row r="18" spans="1:26" x14ac:dyDescent="0.25">
      <c r="B18" s="351" t="s">
        <v>53</v>
      </c>
      <c r="C18" s="351"/>
      <c r="D18" s="351"/>
      <c r="E18" s="351"/>
      <c r="F18" s="351"/>
      <c r="G18" s="94">
        <f>'C. variables y otros'!C52</f>
        <v>297601.8071625345</v>
      </c>
      <c r="H18" s="94">
        <f t="shared" si="4"/>
        <v>297601.8071625345</v>
      </c>
      <c r="I18" s="94">
        <f t="shared" si="3"/>
        <v>297601.8071625345</v>
      </c>
      <c r="J18" s="94">
        <f t="shared" si="3"/>
        <v>297601.8071625345</v>
      </c>
      <c r="K18" s="94">
        <f t="shared" si="3"/>
        <v>297601.8071625345</v>
      </c>
      <c r="L18" s="94">
        <f t="shared" si="3"/>
        <v>297601.8071625345</v>
      </c>
      <c r="M18" s="94">
        <f t="shared" si="3"/>
        <v>297601.8071625345</v>
      </c>
      <c r="N18" s="94">
        <f t="shared" si="3"/>
        <v>297601.8071625345</v>
      </c>
      <c r="O18" s="94">
        <f t="shared" si="3"/>
        <v>297601.8071625345</v>
      </c>
      <c r="P18" s="94">
        <f t="shared" si="3"/>
        <v>297601.8071625345</v>
      </c>
      <c r="Q18" s="94">
        <f t="shared" si="3"/>
        <v>297601.8071625345</v>
      </c>
      <c r="R18" s="94">
        <f t="shared" si="3"/>
        <v>297601.8071625345</v>
      </c>
      <c r="S18" s="94">
        <f t="shared" si="3"/>
        <v>297601.8071625345</v>
      </c>
      <c r="T18" s="94">
        <f t="shared" si="3"/>
        <v>297601.8071625345</v>
      </c>
      <c r="U18" s="94">
        <f t="shared" si="3"/>
        <v>297601.8071625345</v>
      </c>
      <c r="V18" s="94">
        <f t="shared" si="3"/>
        <v>297601.8071625345</v>
      </c>
      <c r="W18" s="94">
        <f t="shared" si="3"/>
        <v>297601.8071625345</v>
      </c>
      <c r="X18" s="94">
        <f t="shared" si="3"/>
        <v>297601.8071625345</v>
      </c>
      <c r="Y18" s="94">
        <f t="shared" si="3"/>
        <v>297601.8071625345</v>
      </c>
      <c r="Z18" s="94">
        <f t="shared" si="3"/>
        <v>297601.8071625345</v>
      </c>
    </row>
    <row r="19" spans="1:26" x14ac:dyDescent="0.25">
      <c r="B19" s="351" t="s">
        <v>54</v>
      </c>
      <c r="C19" s="351"/>
      <c r="D19" s="351"/>
      <c r="E19" s="351"/>
      <c r="F19" s="351"/>
      <c r="G19" s="94">
        <f>'C. variables y otros'!C53</f>
        <v>118800.00000000001</v>
      </c>
      <c r="H19" s="94">
        <f t="shared" si="4"/>
        <v>118800.00000000001</v>
      </c>
      <c r="I19" s="94">
        <f t="shared" si="3"/>
        <v>118800.00000000001</v>
      </c>
      <c r="J19" s="94">
        <f t="shared" si="3"/>
        <v>118800.00000000001</v>
      </c>
      <c r="K19" s="94">
        <f t="shared" si="3"/>
        <v>118800.00000000001</v>
      </c>
      <c r="L19" s="94">
        <f t="shared" si="3"/>
        <v>118800.00000000001</v>
      </c>
      <c r="M19" s="94">
        <f t="shared" si="3"/>
        <v>118800.00000000001</v>
      </c>
      <c r="N19" s="94">
        <f t="shared" si="3"/>
        <v>118800.00000000001</v>
      </c>
      <c r="O19" s="94">
        <f t="shared" si="3"/>
        <v>118800.00000000001</v>
      </c>
      <c r="P19" s="94">
        <f t="shared" si="3"/>
        <v>118800.00000000001</v>
      </c>
      <c r="Q19" s="94">
        <f t="shared" si="3"/>
        <v>118800.00000000001</v>
      </c>
      <c r="R19" s="94">
        <f t="shared" si="3"/>
        <v>118800.00000000001</v>
      </c>
      <c r="S19" s="94">
        <f t="shared" si="3"/>
        <v>118800.00000000001</v>
      </c>
      <c r="T19" s="94">
        <f t="shared" si="3"/>
        <v>118800.00000000001</v>
      </c>
      <c r="U19" s="94">
        <f t="shared" si="3"/>
        <v>118800.00000000001</v>
      </c>
      <c r="V19" s="94">
        <f t="shared" si="3"/>
        <v>118800.00000000001</v>
      </c>
      <c r="W19" s="94">
        <f t="shared" si="3"/>
        <v>118800.00000000001</v>
      </c>
      <c r="X19" s="94">
        <f t="shared" si="3"/>
        <v>118800.00000000001</v>
      </c>
      <c r="Y19" s="94">
        <f t="shared" si="3"/>
        <v>118800.00000000001</v>
      </c>
      <c r="Z19" s="94">
        <f t="shared" si="3"/>
        <v>118800.00000000001</v>
      </c>
    </row>
    <row r="20" spans="1:26" x14ac:dyDescent="0.25">
      <c r="B20" s="351" t="s">
        <v>55</v>
      </c>
      <c r="C20" s="351"/>
      <c r="D20" s="351"/>
      <c r="E20" s="351"/>
      <c r="F20" s="351"/>
      <c r="G20" s="94">
        <f>'C. variables y otros'!C54</f>
        <v>84240.000000000015</v>
      </c>
      <c r="H20" s="94">
        <f t="shared" si="4"/>
        <v>84240.000000000015</v>
      </c>
      <c r="I20" s="94">
        <f t="shared" si="3"/>
        <v>84240.000000000015</v>
      </c>
      <c r="J20" s="94">
        <f t="shared" si="3"/>
        <v>84240.000000000015</v>
      </c>
      <c r="K20" s="94">
        <f t="shared" si="3"/>
        <v>84240.000000000015</v>
      </c>
      <c r="L20" s="94">
        <f t="shared" si="3"/>
        <v>84240.000000000015</v>
      </c>
      <c r="M20" s="94">
        <f t="shared" si="3"/>
        <v>84240.000000000015</v>
      </c>
      <c r="N20" s="94">
        <f t="shared" si="3"/>
        <v>84240.000000000015</v>
      </c>
      <c r="O20" s="94">
        <f t="shared" si="3"/>
        <v>84240.000000000015</v>
      </c>
      <c r="P20" s="94">
        <f t="shared" si="3"/>
        <v>84240.000000000015</v>
      </c>
      <c r="Q20" s="94">
        <f t="shared" si="3"/>
        <v>84240.000000000015</v>
      </c>
      <c r="R20" s="94">
        <f t="shared" si="3"/>
        <v>84240.000000000015</v>
      </c>
      <c r="S20" s="94">
        <f t="shared" si="3"/>
        <v>84240.000000000015</v>
      </c>
      <c r="T20" s="94">
        <f t="shared" si="3"/>
        <v>84240.000000000015</v>
      </c>
      <c r="U20" s="94">
        <f t="shared" si="3"/>
        <v>84240.000000000015</v>
      </c>
      <c r="V20" s="94">
        <f t="shared" si="3"/>
        <v>84240.000000000015</v>
      </c>
      <c r="W20" s="94">
        <f t="shared" si="3"/>
        <v>84240.000000000015</v>
      </c>
      <c r="X20" s="94">
        <f t="shared" si="3"/>
        <v>84240.000000000015</v>
      </c>
      <c r="Y20" s="94">
        <f t="shared" si="3"/>
        <v>84240.000000000015</v>
      </c>
      <c r="Z20" s="94">
        <f t="shared" si="3"/>
        <v>84240.000000000015</v>
      </c>
    </row>
    <row r="21" spans="1:26" x14ac:dyDescent="0.25">
      <c r="B21" s="330" t="s">
        <v>226</v>
      </c>
      <c r="C21" s="330"/>
      <c r="D21" s="330"/>
      <c r="E21" s="330"/>
      <c r="F21" s="330"/>
      <c r="G21" s="119">
        <f>'Inv. y Dep.'!H54</f>
        <v>1375593.8071625347</v>
      </c>
      <c r="H21" s="119">
        <f>+G21</f>
        <v>1375593.8071625347</v>
      </c>
      <c r="I21" s="119">
        <f t="shared" ref="I21:Z21" si="5">+H21</f>
        <v>1375593.8071625347</v>
      </c>
      <c r="J21" s="119">
        <f t="shared" si="5"/>
        <v>1375593.8071625347</v>
      </c>
      <c r="K21" s="119">
        <f t="shared" si="5"/>
        <v>1375593.8071625347</v>
      </c>
      <c r="L21" s="119">
        <f t="shared" si="5"/>
        <v>1375593.8071625347</v>
      </c>
      <c r="M21" s="119">
        <f t="shared" si="5"/>
        <v>1375593.8071625347</v>
      </c>
      <c r="N21" s="119">
        <f t="shared" si="5"/>
        <v>1375593.8071625347</v>
      </c>
      <c r="O21" s="119">
        <f t="shared" si="5"/>
        <v>1375593.8071625347</v>
      </c>
      <c r="P21" s="119">
        <f t="shared" si="5"/>
        <v>1375593.8071625347</v>
      </c>
      <c r="Q21" s="119">
        <f t="shared" si="5"/>
        <v>1375593.8071625347</v>
      </c>
      <c r="R21" s="119">
        <f t="shared" si="5"/>
        <v>1375593.8071625347</v>
      </c>
      <c r="S21" s="119">
        <f t="shared" si="5"/>
        <v>1375593.8071625347</v>
      </c>
      <c r="T21" s="119">
        <f t="shared" si="5"/>
        <v>1375593.8071625347</v>
      </c>
      <c r="U21" s="119">
        <f t="shared" si="5"/>
        <v>1375593.8071625347</v>
      </c>
      <c r="V21" s="119">
        <f t="shared" si="5"/>
        <v>1375593.8071625347</v>
      </c>
      <c r="W21" s="119">
        <f t="shared" si="5"/>
        <v>1375593.8071625347</v>
      </c>
      <c r="X21" s="119">
        <f t="shared" si="5"/>
        <v>1375593.8071625347</v>
      </c>
      <c r="Y21" s="119">
        <f t="shared" si="5"/>
        <v>1375593.8071625347</v>
      </c>
      <c r="Z21" s="119">
        <f t="shared" si="5"/>
        <v>1375593.8071625347</v>
      </c>
    </row>
    <row r="22" spans="1:26" ht="15" customHeight="1" x14ac:dyDescent="0.25">
      <c r="A22" s="67"/>
      <c r="B22" s="336" t="s">
        <v>110</v>
      </c>
      <c r="C22" s="337"/>
      <c r="D22" s="337"/>
      <c r="E22" s="337"/>
      <c r="F22" s="338"/>
      <c r="G22" s="108">
        <f>(G7-(G10+G13+$G$21))</f>
        <v>4292020.398062259</v>
      </c>
      <c r="H22" s="108">
        <f>(H7-(H10+H13+$G$21))</f>
        <v>4756576.0239397176</v>
      </c>
      <c r="I22" s="108">
        <f t="shared" ref="I22:Z22" si="6">(I7-(I10+I13+$G$21))</f>
        <v>5495740.1555603594</v>
      </c>
      <c r="J22" s="108">
        <f t="shared" si="6"/>
        <v>6580089.9717168901</v>
      </c>
      <c r="K22" s="108">
        <f t="shared" si="6"/>
        <v>8120715.4008911066</v>
      </c>
      <c r="L22" s="108">
        <f t="shared" si="6"/>
        <v>10288619.719577171</v>
      </c>
      <c r="M22" s="108">
        <f t="shared" si="6"/>
        <v>13346657.414650571</v>
      </c>
      <c r="N22" s="108">
        <f t="shared" si="6"/>
        <v>17702349.757021513</v>
      </c>
      <c r="O22" s="108">
        <f t="shared" si="6"/>
        <v>23996294.813482188</v>
      </c>
      <c r="P22" s="108">
        <f t="shared" si="6"/>
        <v>33252508.743689217</v>
      </c>
      <c r="Q22" s="108">
        <f t="shared" si="6"/>
        <v>47138618.929129928</v>
      </c>
      <c r="R22" s="108">
        <f t="shared" si="6"/>
        <v>68424668.75738202</v>
      </c>
      <c r="S22" s="108">
        <f t="shared" si="6"/>
        <v>101808016.46806292</v>
      </c>
      <c r="T22" s="108">
        <f t="shared" si="6"/>
        <v>155426448.71894518</v>
      </c>
      <c r="U22" s="108">
        <f t="shared" si="6"/>
        <v>243691292.85123998</v>
      </c>
      <c r="V22" s="108">
        <f t="shared" si="6"/>
        <v>392704702.65145856</v>
      </c>
      <c r="W22" s="108">
        <f t="shared" si="6"/>
        <v>392736315.72737652</v>
      </c>
      <c r="X22" s="108">
        <f t="shared" si="6"/>
        <v>392768981.51991838</v>
      </c>
      <c r="Y22" s="108">
        <f t="shared" si="6"/>
        <v>392802734.94896203</v>
      </c>
      <c r="Z22" s="108">
        <f t="shared" si="6"/>
        <v>392837612.08880967</v>
      </c>
    </row>
    <row r="23" spans="1:26" x14ac:dyDescent="0.25">
      <c r="A23" s="67"/>
      <c r="B23" s="352" t="s">
        <v>111</v>
      </c>
      <c r="C23" s="352"/>
      <c r="D23" s="352"/>
      <c r="E23" s="352"/>
      <c r="F23" s="352"/>
      <c r="G23" s="107">
        <f t="shared" ref="G23:Z23" si="7">(0.3*G22)</f>
        <v>1287606.1194186776</v>
      </c>
      <c r="H23" s="207">
        <f t="shared" si="7"/>
        <v>1426972.8071819153</v>
      </c>
      <c r="I23" s="207">
        <f t="shared" si="7"/>
        <v>1648722.0466681079</v>
      </c>
      <c r="J23" s="207">
        <f t="shared" si="7"/>
        <v>1974026.9915150669</v>
      </c>
      <c r="K23" s="207">
        <f t="shared" si="7"/>
        <v>2436214.6202673321</v>
      </c>
      <c r="L23" s="207">
        <f t="shared" si="7"/>
        <v>3086585.9158731513</v>
      </c>
      <c r="M23" s="207">
        <f t="shared" si="7"/>
        <v>4003997.2243951708</v>
      </c>
      <c r="N23" s="207">
        <f t="shared" si="7"/>
        <v>5310704.927106454</v>
      </c>
      <c r="O23" s="207">
        <f t="shared" si="7"/>
        <v>7198888.4440446561</v>
      </c>
      <c r="P23" s="207">
        <f t="shared" si="7"/>
        <v>9975752.6231067646</v>
      </c>
      <c r="Q23" s="207">
        <f t="shared" si="7"/>
        <v>14141585.678738978</v>
      </c>
      <c r="R23" s="207">
        <f t="shared" si="7"/>
        <v>20527400.627214607</v>
      </c>
      <c r="S23" s="207">
        <f t="shared" si="7"/>
        <v>30542404.940418877</v>
      </c>
      <c r="T23" s="207">
        <f t="shared" si="7"/>
        <v>46627934.615683548</v>
      </c>
      <c r="U23" s="207">
        <f t="shared" si="7"/>
        <v>73107387.855371997</v>
      </c>
      <c r="V23" s="207">
        <f t="shared" si="7"/>
        <v>117811410.79543756</v>
      </c>
      <c r="W23" s="207">
        <f t="shared" si="7"/>
        <v>117820894.71821295</v>
      </c>
      <c r="X23" s="207">
        <f t="shared" si="7"/>
        <v>117830694.45597552</v>
      </c>
      <c r="Y23" s="207">
        <f t="shared" si="7"/>
        <v>117840820.48468861</v>
      </c>
      <c r="Z23" s="207">
        <f t="shared" si="7"/>
        <v>117851283.6266429</v>
      </c>
    </row>
    <row r="24" spans="1:26" x14ac:dyDescent="0.25">
      <c r="A24" s="67"/>
      <c r="B24" s="306" t="s">
        <v>112</v>
      </c>
      <c r="C24" s="306"/>
      <c r="D24" s="306"/>
      <c r="E24" s="306"/>
      <c r="F24" s="306"/>
      <c r="G24" s="108">
        <f t="shared" ref="G24:Z24" si="8">G22-G23</f>
        <v>3004414.2786435811</v>
      </c>
      <c r="H24" s="108">
        <f t="shared" si="8"/>
        <v>3329603.2167578023</v>
      </c>
      <c r="I24" s="108">
        <f t="shared" si="8"/>
        <v>3847018.1088922517</v>
      </c>
      <c r="J24" s="108">
        <f t="shared" si="8"/>
        <v>4606062.9802018236</v>
      </c>
      <c r="K24" s="108">
        <f t="shared" si="8"/>
        <v>5684500.780623775</v>
      </c>
      <c r="L24" s="108">
        <f t="shared" si="8"/>
        <v>7202033.8037040196</v>
      </c>
      <c r="M24" s="108">
        <f t="shared" si="8"/>
        <v>9342660.1902553998</v>
      </c>
      <c r="N24" s="108">
        <f t="shared" si="8"/>
        <v>12391644.829915058</v>
      </c>
      <c r="O24" s="108">
        <f t="shared" si="8"/>
        <v>16797406.369437531</v>
      </c>
      <c r="P24" s="108">
        <f t="shared" si="8"/>
        <v>23276756.120582454</v>
      </c>
      <c r="Q24" s="108">
        <f t="shared" si="8"/>
        <v>32997033.250390951</v>
      </c>
      <c r="R24" s="108">
        <f t="shared" si="8"/>
        <v>47897268.13016741</v>
      </c>
      <c r="S24" s="108">
        <f t="shared" si="8"/>
        <v>71265611.527644038</v>
      </c>
      <c r="T24" s="108">
        <f t="shared" si="8"/>
        <v>108798514.10326162</v>
      </c>
      <c r="U24" s="108">
        <f t="shared" si="8"/>
        <v>170583904.99586797</v>
      </c>
      <c r="V24" s="108">
        <f t="shared" si="8"/>
        <v>274893291.85602099</v>
      </c>
      <c r="W24" s="108">
        <f t="shared" si="8"/>
        <v>274915421.00916356</v>
      </c>
      <c r="X24" s="108">
        <f t="shared" si="8"/>
        <v>274938287.06394285</v>
      </c>
      <c r="Y24" s="108">
        <f t="shared" si="8"/>
        <v>274961914.46427345</v>
      </c>
      <c r="Z24" s="108">
        <f t="shared" si="8"/>
        <v>274986328.46216679</v>
      </c>
    </row>
    <row r="26" spans="1:26" x14ac:dyDescent="0.25">
      <c r="D26" s="26" t="s">
        <v>288</v>
      </c>
      <c r="G26" s="204" t="s">
        <v>285</v>
      </c>
      <c r="H26" s="204" t="s">
        <v>286</v>
      </c>
      <c r="I26" s="204" t="s">
        <v>287</v>
      </c>
    </row>
    <row r="27" spans="1:26" x14ac:dyDescent="0.25">
      <c r="G27" s="189">
        <f>MIN(G10:Z10)</f>
        <v>1927665.1558126726</v>
      </c>
      <c r="H27" s="189">
        <f>MAX(G10:Z10)</f>
        <v>2258948.7035050653</v>
      </c>
      <c r="I27" s="223"/>
    </row>
    <row r="28" spans="1:26" x14ac:dyDescent="0.25">
      <c r="D28" s="201" t="s">
        <v>327</v>
      </c>
      <c r="G28" s="271">
        <f>G27/Ingresos!$G$19</f>
        <v>2.3676212766897072E-2</v>
      </c>
      <c r="H28" s="271">
        <f>H27/Ingresos!$G$19</f>
        <v>2.7745145453513424E-2</v>
      </c>
      <c r="I28" s="272">
        <v>2.12E-2</v>
      </c>
    </row>
    <row r="29" spans="1:26" x14ac:dyDescent="0.25">
      <c r="A29" s="314" t="s">
        <v>263</v>
      </c>
      <c r="B29" s="314"/>
      <c r="E29" s="201" t="s">
        <v>337</v>
      </c>
      <c r="G29" s="51">
        <f>G10/Ingresos!$G$19</f>
        <v>2.3676212766897072E-2</v>
      </c>
      <c r="H29" s="51">
        <f>H10/Ingresos!$G$19</f>
        <v>2.3838212766897071E-2</v>
      </c>
      <c r="I29" s="51">
        <f>I10/Ingresos!$G$19</f>
        <v>2.4005072766897072E-2</v>
      </c>
      <c r="J29" s="51">
        <f>J10/Ingresos!$G$19</f>
        <v>2.4176938566897073E-2</v>
      </c>
      <c r="K29" s="51">
        <f>K10/Ingresos!$G$19</f>
        <v>2.4353960340897072E-2</v>
      </c>
      <c r="L29" s="51">
        <f>L10/Ingresos!$G$19</f>
        <v>2.4536292768117075E-2</v>
      </c>
      <c r="M29" s="51">
        <f>M10/Ingresos!$G$19</f>
        <v>2.4724095168153676E-2</v>
      </c>
      <c r="N29" s="51">
        <f>N10/Ingresos!$G$19</f>
        <v>2.4917531640191372E-2</v>
      </c>
      <c r="O29" s="51">
        <f>O10/Ingresos!$G$19</f>
        <v>2.51167712063902E-2</v>
      </c>
      <c r="P29" s="51">
        <f>P10/Ingresos!$G$19</f>
        <v>2.5321987959574993E-2</v>
      </c>
      <c r="Q29" s="51">
        <f>Q10/Ingresos!$G$19</f>
        <v>2.5533361215355332E-2</v>
      </c>
      <c r="R29" s="51">
        <f>R10/Ingresos!$G$19</f>
        <v>2.5751075668809079E-2</v>
      </c>
      <c r="S29" s="51">
        <f>S10/Ingresos!$G$19</f>
        <v>2.5975321555866439E-2</v>
      </c>
      <c r="T29" s="51">
        <f>T10/Ingresos!$G$19</f>
        <v>2.6206294819535521E-2</v>
      </c>
      <c r="U29" s="51">
        <f>U10/Ingresos!$G$19</f>
        <v>2.6444197281114676E-2</v>
      </c>
      <c r="V29" s="51">
        <f>V10/Ingresos!$G$19</f>
        <v>2.6689236816541208E-2</v>
      </c>
      <c r="W29" s="51">
        <f>W10/Ingresos!$G$19</f>
        <v>2.6941627538030526E-2</v>
      </c>
      <c r="X29" s="51">
        <f>X10/Ingresos!$G$19</f>
        <v>2.7201589981164533E-2</v>
      </c>
      <c r="Y29" s="51">
        <f>Y10/Ingresos!$G$19</f>
        <v>2.7469351297592554E-2</v>
      </c>
      <c r="Z29" s="51">
        <f>Z10/Ingresos!$G$19</f>
        <v>2.7745145453513424E-2</v>
      </c>
    </row>
    <row r="30" spans="1:26" x14ac:dyDescent="0.25">
      <c r="A30" s="314"/>
      <c r="B30" s="314"/>
      <c r="H30" s="248"/>
      <c r="I30" s="266"/>
      <c r="J30" s="265"/>
      <c r="K30" s="265"/>
      <c r="L30" s="265"/>
    </row>
    <row r="31" spans="1:26" x14ac:dyDescent="0.25">
      <c r="I31" s="247"/>
    </row>
    <row r="32" spans="1:26" x14ac:dyDescent="0.25">
      <c r="G32" s="87">
        <v>1</v>
      </c>
      <c r="H32" s="87">
        <v>2</v>
      </c>
      <c r="I32" s="87">
        <v>3</v>
      </c>
      <c r="J32" s="87">
        <v>4</v>
      </c>
      <c r="K32" s="87">
        <v>5</v>
      </c>
      <c r="L32" s="87">
        <v>6</v>
      </c>
      <c r="M32" s="87">
        <v>7</v>
      </c>
      <c r="N32" s="87">
        <v>8</v>
      </c>
      <c r="O32" s="87">
        <v>9</v>
      </c>
      <c r="P32" s="87">
        <v>10</v>
      </c>
      <c r="Q32" s="87">
        <v>11</v>
      </c>
      <c r="R32" s="87">
        <v>12</v>
      </c>
      <c r="S32" s="87">
        <v>13</v>
      </c>
      <c r="T32" s="87">
        <v>14</v>
      </c>
      <c r="U32" s="87">
        <v>15</v>
      </c>
      <c r="V32" s="87">
        <v>16</v>
      </c>
      <c r="W32" s="87">
        <v>17</v>
      </c>
      <c r="X32" s="87">
        <v>18</v>
      </c>
      <c r="Y32" s="87">
        <v>19</v>
      </c>
      <c r="Z32" s="87">
        <v>20</v>
      </c>
    </row>
    <row r="33" spans="2:26" x14ac:dyDescent="0.25">
      <c r="B33" s="305"/>
      <c r="C33" s="305"/>
      <c r="D33" s="305"/>
      <c r="E33" s="305"/>
      <c r="F33" s="305"/>
      <c r="G33" s="122" t="s">
        <v>20</v>
      </c>
      <c r="H33" s="122" t="s">
        <v>21</v>
      </c>
      <c r="I33" s="122" t="s">
        <v>22</v>
      </c>
      <c r="J33" s="122" t="s">
        <v>23</v>
      </c>
      <c r="K33" s="122" t="s">
        <v>24</v>
      </c>
      <c r="L33" s="122" t="s">
        <v>25</v>
      </c>
      <c r="M33" s="122" t="s">
        <v>26</v>
      </c>
      <c r="N33" s="122" t="s">
        <v>27</v>
      </c>
      <c r="O33" s="122" t="s">
        <v>28</v>
      </c>
      <c r="P33" s="122" t="s">
        <v>29</v>
      </c>
      <c r="Q33" s="122" t="s">
        <v>30</v>
      </c>
      <c r="R33" s="122" t="s">
        <v>31</v>
      </c>
      <c r="S33" s="122" t="s">
        <v>32</v>
      </c>
      <c r="T33" s="122" t="s">
        <v>33</v>
      </c>
      <c r="U33" s="122" t="s">
        <v>34</v>
      </c>
      <c r="V33" s="122" t="s">
        <v>35</v>
      </c>
      <c r="W33" s="122" t="s">
        <v>36</v>
      </c>
      <c r="X33" s="122" t="s">
        <v>37</v>
      </c>
      <c r="Y33" s="122" t="s">
        <v>38</v>
      </c>
      <c r="Z33" s="122" t="s">
        <v>39</v>
      </c>
    </row>
    <row r="34" spans="2:26" x14ac:dyDescent="0.25">
      <c r="B34" s="336" t="s">
        <v>107</v>
      </c>
      <c r="C34" s="337"/>
      <c r="D34" s="337"/>
      <c r="E34" s="337"/>
      <c r="F34" s="338"/>
      <c r="G34" s="106">
        <f t="shared" ref="G34:Z34" si="9">SUM(G35+G36)</f>
        <v>8327021.1682000002</v>
      </c>
      <c r="H34" s="106">
        <f t="shared" si="9"/>
        <v>8804766.4776774589</v>
      </c>
      <c r="I34" s="106">
        <f t="shared" si="9"/>
        <v>9557515.9834061004</v>
      </c>
      <c r="J34" s="106">
        <f t="shared" si="9"/>
        <v>10655858.734893871</v>
      </c>
      <c r="K34" s="106">
        <f t="shared" si="9"/>
        <v>12210896.887459265</v>
      </c>
      <c r="L34" s="106">
        <f t="shared" si="9"/>
        <v>14393646.311238242</v>
      </c>
      <c r="M34" s="106">
        <f t="shared" si="9"/>
        <v>17466974.464557342</v>
      </c>
      <c r="N34" s="106">
        <f t="shared" si="9"/>
        <v>21838415.978921354</v>
      </c>
      <c r="O34" s="106">
        <f t="shared" si="9"/>
        <v>28148582.682534892</v>
      </c>
      <c r="P34" s="106">
        <f t="shared" si="9"/>
        <v>37421504.909309372</v>
      </c>
      <c r="Q34" s="106">
        <f t="shared" si="9"/>
        <v>51324824.640214555</v>
      </c>
      <c r="R34" s="106">
        <f t="shared" si="9"/>
        <v>72628600.300295055</v>
      </c>
      <c r="S34" s="106">
        <f t="shared" si="9"/>
        <v>106030205.61775921</v>
      </c>
      <c r="T34" s="106">
        <f t="shared" si="9"/>
        <v>159667443.20362821</v>
      </c>
      <c r="U34" s="106">
        <f t="shared" si="9"/>
        <v>247951656.83095938</v>
      </c>
      <c r="V34" s="106">
        <f t="shared" si="9"/>
        <v>396985017.21106541</v>
      </c>
      <c r="W34" s="106">
        <f t="shared" si="9"/>
        <v>397037179.38426745</v>
      </c>
      <c r="X34" s="106">
        <f t="shared" si="9"/>
        <v>397091010.7470119</v>
      </c>
      <c r="Y34" s="106">
        <f t="shared" si="9"/>
        <v>397146564.71336424</v>
      </c>
      <c r="Z34" s="106">
        <f t="shared" si="9"/>
        <v>397203896.40663981</v>
      </c>
    </row>
    <row r="35" spans="2:26" ht="15" customHeight="1" x14ac:dyDescent="0.25">
      <c r="B35" s="351" t="s">
        <v>220</v>
      </c>
      <c r="C35" s="351"/>
      <c r="D35" s="351"/>
      <c r="E35" s="351"/>
      <c r="F35" s="351"/>
      <c r="G35" s="94">
        <f t="shared" ref="G35:Z35" si="10">G8</f>
        <v>7310748.5153999999</v>
      </c>
      <c r="H35" s="94">
        <f t="shared" si="10"/>
        <v>7755973.0999878589</v>
      </c>
      <c r="I35" s="94">
        <f t="shared" si="10"/>
        <v>8475161.2176304329</v>
      </c>
      <c r="J35" s="94">
        <f t="shared" si="10"/>
        <v>9538868.6166133825</v>
      </c>
      <c r="K35" s="94">
        <f t="shared" si="10"/>
        <v>11058163.085393801</v>
      </c>
      <c r="L35" s="94">
        <f t="shared" si="10"/>
        <v>13204025.027506683</v>
      </c>
      <c r="M35" s="94">
        <f t="shared" si="10"/>
        <v>16239285.299746372</v>
      </c>
      <c r="N35" s="94">
        <f t="shared" si="10"/>
        <v>20571440.760836434</v>
      </c>
      <c r="O35" s="94">
        <f t="shared" si="10"/>
        <v>26841064.257471256</v>
      </c>
      <c r="P35" s="94">
        <f t="shared" si="10"/>
        <v>36072145.894643702</v>
      </c>
      <c r="Q35" s="94">
        <f t="shared" si="10"/>
        <v>49932286.137079582</v>
      </c>
      <c r="R35" s="94">
        <f t="shared" si="10"/>
        <v>71191500.565059766</v>
      </c>
      <c r="S35" s="94">
        <f t="shared" si="10"/>
        <v>104547118.69099639</v>
      </c>
      <c r="T35" s="94">
        <f t="shared" si="10"/>
        <v>158136897.49520898</v>
      </c>
      <c r="U35" s="94">
        <f t="shared" si="10"/>
        <v>246372133.65987074</v>
      </c>
      <c r="V35" s="94">
        <f t="shared" si="10"/>
        <v>395354949.29850191</v>
      </c>
      <c r="W35" s="94">
        <f t="shared" si="10"/>
        <v>395354949.29850191</v>
      </c>
      <c r="X35" s="94">
        <f t="shared" si="10"/>
        <v>395354949.29850191</v>
      </c>
      <c r="Y35" s="94">
        <f t="shared" si="10"/>
        <v>395354949.29850191</v>
      </c>
      <c r="Z35" s="94">
        <f t="shared" si="10"/>
        <v>395354949.29850191</v>
      </c>
    </row>
    <row r="36" spans="2:26" ht="15" customHeight="1" x14ac:dyDescent="0.25">
      <c r="B36" s="351" t="s">
        <v>108</v>
      </c>
      <c r="C36" s="351"/>
      <c r="D36" s="351"/>
      <c r="E36" s="351"/>
      <c r="F36" s="351"/>
      <c r="G36" s="94">
        <f t="shared" ref="G36:Z36" si="11">G9</f>
        <v>1016272.6527999999</v>
      </c>
      <c r="H36" s="94">
        <f t="shared" si="11"/>
        <v>1048793.3776896</v>
      </c>
      <c r="I36" s="94">
        <f t="shared" si="11"/>
        <v>1082354.765775667</v>
      </c>
      <c r="J36" s="94">
        <f t="shared" si="11"/>
        <v>1116990.1182804885</v>
      </c>
      <c r="K36" s="94">
        <f t="shared" si="11"/>
        <v>1152733.8020654642</v>
      </c>
      <c r="L36" s="94">
        <f t="shared" si="11"/>
        <v>1189621.2837315593</v>
      </c>
      <c r="M36" s="94">
        <f t="shared" si="11"/>
        <v>1227689.164810969</v>
      </c>
      <c r="N36" s="94">
        <f t="shared" si="11"/>
        <v>1266975.2180849202</v>
      </c>
      <c r="O36" s="94">
        <f t="shared" si="11"/>
        <v>1307518.4250636376</v>
      </c>
      <c r="P36" s="94">
        <f t="shared" si="11"/>
        <v>1349359.014665674</v>
      </c>
      <c r="Q36" s="94">
        <f t="shared" si="11"/>
        <v>1392538.5031349757</v>
      </c>
      <c r="R36" s="94">
        <f t="shared" si="11"/>
        <v>1437099.7352352948</v>
      </c>
      <c r="S36" s="94">
        <f t="shared" si="11"/>
        <v>1483086.9267628242</v>
      </c>
      <c r="T36" s="94">
        <f t="shared" si="11"/>
        <v>1530545.7084192347</v>
      </c>
      <c r="U36" s="94">
        <f t="shared" si="11"/>
        <v>1579523.1710886501</v>
      </c>
      <c r="V36" s="94">
        <f t="shared" si="11"/>
        <v>1630067.9125634872</v>
      </c>
      <c r="W36" s="94">
        <f t="shared" si="11"/>
        <v>1682230.0857655189</v>
      </c>
      <c r="X36" s="94">
        <f t="shared" si="11"/>
        <v>1736061.4485100156</v>
      </c>
      <c r="Y36" s="94">
        <f t="shared" si="11"/>
        <v>1791615.4148623361</v>
      </c>
      <c r="Z36" s="94">
        <f t="shared" si="11"/>
        <v>1848947.108137931</v>
      </c>
    </row>
    <row r="37" spans="2:26" ht="15" customHeight="1" x14ac:dyDescent="0.25">
      <c r="B37" s="336" t="s">
        <v>265</v>
      </c>
      <c r="C37" s="337"/>
      <c r="D37" s="337"/>
      <c r="E37" s="337"/>
      <c r="F37" s="338"/>
      <c r="G37" s="106">
        <f t="shared" ref="G37:Z37" si="12">SUM(G38:G39)</f>
        <v>1927665.1558126726</v>
      </c>
      <c r="H37" s="106">
        <f t="shared" si="12"/>
        <v>1940854.8394126724</v>
      </c>
      <c r="I37" s="106">
        <f t="shared" si="12"/>
        <v>1954440.2135206724</v>
      </c>
      <c r="J37" s="106">
        <f t="shared" si="12"/>
        <v>1968433.1488519125</v>
      </c>
      <c r="K37" s="106">
        <f t="shared" si="12"/>
        <v>1982845.8722430896</v>
      </c>
      <c r="L37" s="106">
        <f t="shared" si="12"/>
        <v>1997690.9773360023</v>
      </c>
      <c r="M37" s="106">
        <f t="shared" si="12"/>
        <v>2012981.4355817023</v>
      </c>
      <c r="N37" s="106">
        <f t="shared" si="12"/>
        <v>2028730.607574773</v>
      </c>
      <c r="O37" s="106">
        <f t="shared" si="12"/>
        <v>2044952.254727636</v>
      </c>
      <c r="P37" s="106">
        <f t="shared" si="12"/>
        <v>2061660.5512950849</v>
      </c>
      <c r="Q37" s="106">
        <f t="shared" si="12"/>
        <v>2078870.0967595573</v>
      </c>
      <c r="R37" s="106">
        <f t="shared" si="12"/>
        <v>2096595.9285879638</v>
      </c>
      <c r="S37" s="106">
        <f t="shared" si="12"/>
        <v>2114853.5353712225</v>
      </c>
      <c r="T37" s="106">
        <f t="shared" si="12"/>
        <v>2133658.8703579791</v>
      </c>
      <c r="U37" s="106">
        <f t="shared" si="12"/>
        <v>2153028.3653943385</v>
      </c>
      <c r="V37" s="106">
        <f t="shared" si="12"/>
        <v>2172978.9452817887</v>
      </c>
      <c r="W37" s="106">
        <f t="shared" si="12"/>
        <v>2193528.0425658617</v>
      </c>
      <c r="X37" s="106">
        <f t="shared" si="12"/>
        <v>2214693.6127684577</v>
      </c>
      <c r="Y37" s="106">
        <f t="shared" si="12"/>
        <v>2236494.1500771311</v>
      </c>
      <c r="Z37" s="106">
        <f t="shared" si="12"/>
        <v>2258948.7035050653</v>
      </c>
    </row>
    <row r="38" spans="2:26" ht="15" customHeight="1" x14ac:dyDescent="0.25">
      <c r="B38" s="351" t="s">
        <v>109</v>
      </c>
      <c r="C38" s="351"/>
      <c r="D38" s="351"/>
      <c r="E38" s="351"/>
      <c r="F38" s="351"/>
      <c r="G38" s="94">
        <f>G11</f>
        <v>439656.12000000005</v>
      </c>
      <c r="H38" s="94">
        <f t="shared" ref="H38:Z39" si="13">H11</f>
        <v>452845.80360000004</v>
      </c>
      <c r="I38" s="94">
        <f t="shared" si="13"/>
        <v>466431.177708</v>
      </c>
      <c r="J38" s="94">
        <f t="shared" si="13"/>
        <v>480424.11303924001</v>
      </c>
      <c r="K38" s="94">
        <f t="shared" si="13"/>
        <v>494836.8364304172</v>
      </c>
      <c r="L38" s="94">
        <f t="shared" si="13"/>
        <v>509681.94152332976</v>
      </c>
      <c r="M38" s="94">
        <f t="shared" si="13"/>
        <v>524972.3997690297</v>
      </c>
      <c r="N38" s="94">
        <f t="shared" si="13"/>
        <v>540721.57176210056</v>
      </c>
      <c r="O38" s="94">
        <f t="shared" si="13"/>
        <v>556943.21891496365</v>
      </c>
      <c r="P38" s="94">
        <f t="shared" si="13"/>
        <v>573651.51548241253</v>
      </c>
      <c r="Q38" s="94">
        <f t="shared" si="13"/>
        <v>590861.06094688491</v>
      </c>
      <c r="R38" s="94">
        <f t="shared" si="13"/>
        <v>608586.89277529146</v>
      </c>
      <c r="S38" s="94">
        <f t="shared" si="13"/>
        <v>626844.49955855031</v>
      </c>
      <c r="T38" s="94">
        <f t="shared" si="13"/>
        <v>645649.83454530674</v>
      </c>
      <c r="U38" s="94">
        <f t="shared" si="13"/>
        <v>665019.32958166604</v>
      </c>
      <c r="V38" s="94">
        <f t="shared" si="13"/>
        <v>684969.90946911601</v>
      </c>
      <c r="W38" s="94">
        <f t="shared" si="13"/>
        <v>705519.00675318949</v>
      </c>
      <c r="X38" s="94">
        <f t="shared" si="13"/>
        <v>726684.57695578528</v>
      </c>
      <c r="Y38" s="94">
        <f t="shared" si="13"/>
        <v>748485.11426445877</v>
      </c>
      <c r="Z38" s="94">
        <f t="shared" si="13"/>
        <v>770939.6676923926</v>
      </c>
    </row>
    <row r="39" spans="2:26" x14ac:dyDescent="0.25">
      <c r="B39" s="351" t="s">
        <v>46</v>
      </c>
      <c r="C39" s="351"/>
      <c r="D39" s="351"/>
      <c r="E39" s="351"/>
      <c r="F39" s="351"/>
      <c r="G39" s="94">
        <f>G12</f>
        <v>1488009.0358126725</v>
      </c>
      <c r="H39" s="94">
        <f t="shared" si="13"/>
        <v>1488009.0358126725</v>
      </c>
      <c r="I39" s="94">
        <f t="shared" si="13"/>
        <v>1488009.0358126725</v>
      </c>
      <c r="J39" s="94">
        <f t="shared" si="13"/>
        <v>1488009.0358126725</v>
      </c>
      <c r="K39" s="94">
        <f t="shared" si="13"/>
        <v>1488009.0358126725</v>
      </c>
      <c r="L39" s="94">
        <f t="shared" si="13"/>
        <v>1488009.0358126725</v>
      </c>
      <c r="M39" s="94">
        <f t="shared" si="13"/>
        <v>1488009.0358126725</v>
      </c>
      <c r="N39" s="94">
        <f t="shared" si="13"/>
        <v>1488009.0358126725</v>
      </c>
      <c r="O39" s="94">
        <f t="shared" si="13"/>
        <v>1488009.0358126725</v>
      </c>
      <c r="P39" s="94">
        <f t="shared" si="13"/>
        <v>1488009.0358126725</v>
      </c>
      <c r="Q39" s="94">
        <f t="shared" si="13"/>
        <v>1488009.0358126725</v>
      </c>
      <c r="R39" s="94">
        <f t="shared" si="13"/>
        <v>1488009.0358126725</v>
      </c>
      <c r="S39" s="94">
        <f t="shared" si="13"/>
        <v>1488009.0358126725</v>
      </c>
      <c r="T39" s="94">
        <f t="shared" si="13"/>
        <v>1488009.0358126725</v>
      </c>
      <c r="U39" s="94">
        <f t="shared" si="13"/>
        <v>1488009.0358126725</v>
      </c>
      <c r="V39" s="94">
        <f t="shared" si="13"/>
        <v>1488009.0358126725</v>
      </c>
      <c r="W39" s="94">
        <f t="shared" si="13"/>
        <v>1488009.0358126725</v>
      </c>
      <c r="X39" s="94">
        <f t="shared" si="13"/>
        <v>1488009.0358126725</v>
      </c>
      <c r="Y39" s="94">
        <f t="shared" si="13"/>
        <v>1488009.0358126725</v>
      </c>
      <c r="Z39" s="94">
        <f t="shared" si="13"/>
        <v>1488009.0358126725</v>
      </c>
    </row>
    <row r="40" spans="2:26" ht="15" customHeight="1" x14ac:dyDescent="0.25">
      <c r="B40" s="336" t="s">
        <v>49</v>
      </c>
      <c r="C40" s="337"/>
      <c r="D40" s="337"/>
      <c r="E40" s="337"/>
      <c r="F40" s="338"/>
      <c r="G40" s="106">
        <f t="shared" ref="G40:Z40" si="14">SUM(G41:G47)</f>
        <v>731741.80716253445</v>
      </c>
      <c r="H40" s="106">
        <f t="shared" si="14"/>
        <v>731741.80716253445</v>
      </c>
      <c r="I40" s="106">
        <f t="shared" si="14"/>
        <v>731741.80716253445</v>
      </c>
      <c r="J40" s="106">
        <f t="shared" si="14"/>
        <v>731741.80716253445</v>
      </c>
      <c r="K40" s="106">
        <f t="shared" si="14"/>
        <v>731741.80716253445</v>
      </c>
      <c r="L40" s="106">
        <f t="shared" si="14"/>
        <v>731741.80716253445</v>
      </c>
      <c r="M40" s="106">
        <f t="shared" si="14"/>
        <v>731741.80716253445</v>
      </c>
      <c r="N40" s="106">
        <f t="shared" si="14"/>
        <v>731741.80716253445</v>
      </c>
      <c r="O40" s="106">
        <f t="shared" si="14"/>
        <v>731741.80716253445</v>
      </c>
      <c r="P40" s="106">
        <f t="shared" si="14"/>
        <v>731741.80716253445</v>
      </c>
      <c r="Q40" s="106">
        <f t="shared" si="14"/>
        <v>731741.80716253445</v>
      </c>
      <c r="R40" s="106">
        <f t="shared" si="14"/>
        <v>731741.80716253445</v>
      </c>
      <c r="S40" s="106">
        <f t="shared" si="14"/>
        <v>731741.80716253445</v>
      </c>
      <c r="T40" s="106">
        <f t="shared" si="14"/>
        <v>731741.80716253445</v>
      </c>
      <c r="U40" s="106">
        <f t="shared" si="14"/>
        <v>731741.80716253445</v>
      </c>
      <c r="V40" s="106">
        <f t="shared" si="14"/>
        <v>731741.80716253445</v>
      </c>
      <c r="W40" s="106">
        <f t="shared" si="14"/>
        <v>731741.80716253445</v>
      </c>
      <c r="X40" s="106">
        <f t="shared" si="14"/>
        <v>731741.80716253445</v>
      </c>
      <c r="Y40" s="106">
        <f t="shared" si="14"/>
        <v>731741.80716253445</v>
      </c>
      <c r="Z40" s="106">
        <f t="shared" si="14"/>
        <v>731741.80716253445</v>
      </c>
    </row>
    <row r="41" spans="2:26" ht="15" customHeight="1" x14ac:dyDescent="0.25">
      <c r="B41" s="351" t="s">
        <v>50</v>
      </c>
      <c r="C41" s="351"/>
      <c r="D41" s="351"/>
      <c r="E41" s="351"/>
      <c r="F41" s="351"/>
      <c r="G41" s="94">
        <f>G14</f>
        <v>105000</v>
      </c>
      <c r="H41" s="94">
        <f t="shared" ref="H41:Z41" si="15">H14</f>
        <v>105000</v>
      </c>
      <c r="I41" s="94">
        <f t="shared" si="15"/>
        <v>105000</v>
      </c>
      <c r="J41" s="94">
        <f t="shared" si="15"/>
        <v>105000</v>
      </c>
      <c r="K41" s="94">
        <f t="shared" si="15"/>
        <v>105000</v>
      </c>
      <c r="L41" s="94">
        <f t="shared" si="15"/>
        <v>105000</v>
      </c>
      <c r="M41" s="94">
        <f t="shared" si="15"/>
        <v>105000</v>
      </c>
      <c r="N41" s="94">
        <f t="shared" si="15"/>
        <v>105000</v>
      </c>
      <c r="O41" s="94">
        <f t="shared" si="15"/>
        <v>105000</v>
      </c>
      <c r="P41" s="94">
        <f t="shared" si="15"/>
        <v>105000</v>
      </c>
      <c r="Q41" s="94">
        <f t="shared" si="15"/>
        <v>105000</v>
      </c>
      <c r="R41" s="94">
        <f t="shared" si="15"/>
        <v>105000</v>
      </c>
      <c r="S41" s="94">
        <f t="shared" si="15"/>
        <v>105000</v>
      </c>
      <c r="T41" s="94">
        <f t="shared" si="15"/>
        <v>105000</v>
      </c>
      <c r="U41" s="94">
        <f t="shared" si="15"/>
        <v>105000</v>
      </c>
      <c r="V41" s="94">
        <f t="shared" si="15"/>
        <v>105000</v>
      </c>
      <c r="W41" s="94">
        <f t="shared" si="15"/>
        <v>105000</v>
      </c>
      <c r="X41" s="94">
        <f t="shared" si="15"/>
        <v>105000</v>
      </c>
      <c r="Y41" s="94">
        <f t="shared" si="15"/>
        <v>105000</v>
      </c>
      <c r="Z41" s="94">
        <f t="shared" si="15"/>
        <v>105000</v>
      </c>
    </row>
    <row r="42" spans="2:26" ht="15" customHeight="1" x14ac:dyDescent="0.25">
      <c r="B42" s="351" t="s">
        <v>202</v>
      </c>
      <c r="C42" s="351"/>
      <c r="D42" s="351"/>
      <c r="E42" s="351"/>
      <c r="F42" s="351"/>
      <c r="G42" s="94">
        <f t="shared" ref="G42:Z42" si="16">G15</f>
        <v>64800</v>
      </c>
      <c r="H42" s="94">
        <f t="shared" si="16"/>
        <v>64800</v>
      </c>
      <c r="I42" s="94">
        <f t="shared" si="16"/>
        <v>64800</v>
      </c>
      <c r="J42" s="94">
        <f t="shared" si="16"/>
        <v>64800</v>
      </c>
      <c r="K42" s="94">
        <f t="shared" si="16"/>
        <v>64800</v>
      </c>
      <c r="L42" s="94">
        <f t="shared" si="16"/>
        <v>64800</v>
      </c>
      <c r="M42" s="94">
        <f t="shared" si="16"/>
        <v>64800</v>
      </c>
      <c r="N42" s="94">
        <f t="shared" si="16"/>
        <v>64800</v>
      </c>
      <c r="O42" s="94">
        <f t="shared" si="16"/>
        <v>64800</v>
      </c>
      <c r="P42" s="94">
        <f t="shared" si="16"/>
        <v>64800</v>
      </c>
      <c r="Q42" s="94">
        <f t="shared" si="16"/>
        <v>64800</v>
      </c>
      <c r="R42" s="94">
        <f t="shared" si="16"/>
        <v>64800</v>
      </c>
      <c r="S42" s="94">
        <f t="shared" si="16"/>
        <v>64800</v>
      </c>
      <c r="T42" s="94">
        <f t="shared" si="16"/>
        <v>64800</v>
      </c>
      <c r="U42" s="94">
        <f t="shared" si="16"/>
        <v>64800</v>
      </c>
      <c r="V42" s="94">
        <f t="shared" si="16"/>
        <v>64800</v>
      </c>
      <c r="W42" s="94">
        <f t="shared" si="16"/>
        <v>64800</v>
      </c>
      <c r="X42" s="94">
        <f t="shared" si="16"/>
        <v>64800</v>
      </c>
      <c r="Y42" s="94">
        <f t="shared" si="16"/>
        <v>64800</v>
      </c>
      <c r="Z42" s="94">
        <f t="shared" si="16"/>
        <v>64800</v>
      </c>
    </row>
    <row r="43" spans="2:26" ht="15" customHeight="1" x14ac:dyDescent="0.25">
      <c r="B43" s="351" t="s">
        <v>51</v>
      </c>
      <c r="C43" s="351"/>
      <c r="D43" s="351"/>
      <c r="E43" s="351"/>
      <c r="F43" s="351"/>
      <c r="G43" s="94">
        <f t="shared" ref="G43:Z43" si="17">G16</f>
        <v>35800</v>
      </c>
      <c r="H43" s="94">
        <f t="shared" si="17"/>
        <v>35800</v>
      </c>
      <c r="I43" s="94">
        <f t="shared" si="17"/>
        <v>35800</v>
      </c>
      <c r="J43" s="94">
        <f t="shared" si="17"/>
        <v>35800</v>
      </c>
      <c r="K43" s="94">
        <f t="shared" si="17"/>
        <v>35800</v>
      </c>
      <c r="L43" s="94">
        <f t="shared" si="17"/>
        <v>35800</v>
      </c>
      <c r="M43" s="94">
        <f t="shared" si="17"/>
        <v>35800</v>
      </c>
      <c r="N43" s="94">
        <f t="shared" si="17"/>
        <v>35800</v>
      </c>
      <c r="O43" s="94">
        <f t="shared" si="17"/>
        <v>35800</v>
      </c>
      <c r="P43" s="94">
        <f t="shared" si="17"/>
        <v>35800</v>
      </c>
      <c r="Q43" s="94">
        <f t="shared" si="17"/>
        <v>35800</v>
      </c>
      <c r="R43" s="94">
        <f t="shared" si="17"/>
        <v>35800</v>
      </c>
      <c r="S43" s="94">
        <f t="shared" si="17"/>
        <v>35800</v>
      </c>
      <c r="T43" s="94">
        <f t="shared" si="17"/>
        <v>35800</v>
      </c>
      <c r="U43" s="94">
        <f t="shared" si="17"/>
        <v>35800</v>
      </c>
      <c r="V43" s="94">
        <f t="shared" si="17"/>
        <v>35800</v>
      </c>
      <c r="W43" s="94">
        <f t="shared" si="17"/>
        <v>35800</v>
      </c>
      <c r="X43" s="94">
        <f t="shared" si="17"/>
        <v>35800</v>
      </c>
      <c r="Y43" s="94">
        <f t="shared" si="17"/>
        <v>35800</v>
      </c>
      <c r="Z43" s="94">
        <f t="shared" si="17"/>
        <v>35800</v>
      </c>
    </row>
    <row r="44" spans="2:26" ht="15" customHeight="1" x14ac:dyDescent="0.25">
      <c r="B44" s="351" t="s">
        <v>52</v>
      </c>
      <c r="C44" s="351"/>
      <c r="D44" s="351"/>
      <c r="E44" s="351"/>
      <c r="F44" s="351"/>
      <c r="G44" s="94">
        <f t="shared" ref="G44:Z44" si="18">G17</f>
        <v>25500</v>
      </c>
      <c r="H44" s="94">
        <f t="shared" si="18"/>
        <v>25500</v>
      </c>
      <c r="I44" s="94">
        <f t="shared" si="18"/>
        <v>25500</v>
      </c>
      <c r="J44" s="94">
        <f t="shared" si="18"/>
        <v>25500</v>
      </c>
      <c r="K44" s="94">
        <f t="shared" si="18"/>
        <v>25500</v>
      </c>
      <c r="L44" s="94">
        <f t="shared" si="18"/>
        <v>25500</v>
      </c>
      <c r="M44" s="94">
        <f t="shared" si="18"/>
        <v>25500</v>
      </c>
      <c r="N44" s="94">
        <f t="shared" si="18"/>
        <v>25500</v>
      </c>
      <c r="O44" s="94">
        <f t="shared" si="18"/>
        <v>25500</v>
      </c>
      <c r="P44" s="94">
        <f t="shared" si="18"/>
        <v>25500</v>
      </c>
      <c r="Q44" s="94">
        <f t="shared" si="18"/>
        <v>25500</v>
      </c>
      <c r="R44" s="94">
        <f t="shared" si="18"/>
        <v>25500</v>
      </c>
      <c r="S44" s="94">
        <f t="shared" si="18"/>
        <v>25500</v>
      </c>
      <c r="T44" s="94">
        <f t="shared" si="18"/>
        <v>25500</v>
      </c>
      <c r="U44" s="94">
        <f t="shared" si="18"/>
        <v>25500</v>
      </c>
      <c r="V44" s="94">
        <f t="shared" si="18"/>
        <v>25500</v>
      </c>
      <c r="W44" s="94">
        <f t="shared" si="18"/>
        <v>25500</v>
      </c>
      <c r="X44" s="94">
        <f t="shared" si="18"/>
        <v>25500</v>
      </c>
      <c r="Y44" s="94">
        <f t="shared" si="18"/>
        <v>25500</v>
      </c>
      <c r="Z44" s="94">
        <f t="shared" si="18"/>
        <v>25500</v>
      </c>
    </row>
    <row r="45" spans="2:26" x14ac:dyDescent="0.25">
      <c r="B45" s="351" t="s">
        <v>53</v>
      </c>
      <c r="C45" s="351"/>
      <c r="D45" s="351"/>
      <c r="E45" s="351"/>
      <c r="F45" s="351"/>
      <c r="G45" s="94">
        <f t="shared" ref="G45:Z45" si="19">G18</f>
        <v>297601.8071625345</v>
      </c>
      <c r="H45" s="94">
        <f t="shared" si="19"/>
        <v>297601.8071625345</v>
      </c>
      <c r="I45" s="94">
        <f t="shared" si="19"/>
        <v>297601.8071625345</v>
      </c>
      <c r="J45" s="94">
        <f t="shared" si="19"/>
        <v>297601.8071625345</v>
      </c>
      <c r="K45" s="94">
        <f t="shared" si="19"/>
        <v>297601.8071625345</v>
      </c>
      <c r="L45" s="94">
        <f t="shared" si="19"/>
        <v>297601.8071625345</v>
      </c>
      <c r="M45" s="94">
        <f t="shared" si="19"/>
        <v>297601.8071625345</v>
      </c>
      <c r="N45" s="94">
        <f t="shared" si="19"/>
        <v>297601.8071625345</v>
      </c>
      <c r="O45" s="94">
        <f t="shared" si="19"/>
        <v>297601.8071625345</v>
      </c>
      <c r="P45" s="94">
        <f t="shared" si="19"/>
        <v>297601.8071625345</v>
      </c>
      <c r="Q45" s="94">
        <f t="shared" si="19"/>
        <v>297601.8071625345</v>
      </c>
      <c r="R45" s="94">
        <f t="shared" si="19"/>
        <v>297601.8071625345</v>
      </c>
      <c r="S45" s="94">
        <f t="shared" si="19"/>
        <v>297601.8071625345</v>
      </c>
      <c r="T45" s="94">
        <f t="shared" si="19"/>
        <v>297601.8071625345</v>
      </c>
      <c r="U45" s="94">
        <f t="shared" si="19"/>
        <v>297601.8071625345</v>
      </c>
      <c r="V45" s="94">
        <f t="shared" si="19"/>
        <v>297601.8071625345</v>
      </c>
      <c r="W45" s="94">
        <f t="shared" si="19"/>
        <v>297601.8071625345</v>
      </c>
      <c r="X45" s="94">
        <f t="shared" si="19"/>
        <v>297601.8071625345</v>
      </c>
      <c r="Y45" s="94">
        <f t="shared" si="19"/>
        <v>297601.8071625345</v>
      </c>
      <c r="Z45" s="94">
        <f t="shared" si="19"/>
        <v>297601.8071625345</v>
      </c>
    </row>
    <row r="46" spans="2:26" x14ac:dyDescent="0.25">
      <c r="B46" s="351" t="s">
        <v>54</v>
      </c>
      <c r="C46" s="351"/>
      <c r="D46" s="351"/>
      <c r="E46" s="351"/>
      <c r="F46" s="351"/>
      <c r="G46" s="94">
        <f t="shared" ref="G46:Z46" si="20">G19</f>
        <v>118800.00000000001</v>
      </c>
      <c r="H46" s="94">
        <f t="shared" si="20"/>
        <v>118800.00000000001</v>
      </c>
      <c r="I46" s="94">
        <f t="shared" si="20"/>
        <v>118800.00000000001</v>
      </c>
      <c r="J46" s="94">
        <f t="shared" si="20"/>
        <v>118800.00000000001</v>
      </c>
      <c r="K46" s="94">
        <f t="shared" si="20"/>
        <v>118800.00000000001</v>
      </c>
      <c r="L46" s="94">
        <f t="shared" si="20"/>
        <v>118800.00000000001</v>
      </c>
      <c r="M46" s="94">
        <f t="shared" si="20"/>
        <v>118800.00000000001</v>
      </c>
      <c r="N46" s="94">
        <f t="shared" si="20"/>
        <v>118800.00000000001</v>
      </c>
      <c r="O46" s="94">
        <f t="shared" si="20"/>
        <v>118800.00000000001</v>
      </c>
      <c r="P46" s="94">
        <f t="shared" si="20"/>
        <v>118800.00000000001</v>
      </c>
      <c r="Q46" s="94">
        <f t="shared" si="20"/>
        <v>118800.00000000001</v>
      </c>
      <c r="R46" s="94">
        <f t="shared" si="20"/>
        <v>118800.00000000001</v>
      </c>
      <c r="S46" s="94">
        <f t="shared" si="20"/>
        <v>118800.00000000001</v>
      </c>
      <c r="T46" s="94">
        <f t="shared" si="20"/>
        <v>118800.00000000001</v>
      </c>
      <c r="U46" s="94">
        <f t="shared" si="20"/>
        <v>118800.00000000001</v>
      </c>
      <c r="V46" s="94">
        <f t="shared" si="20"/>
        <v>118800.00000000001</v>
      </c>
      <c r="W46" s="94">
        <f t="shared" si="20"/>
        <v>118800.00000000001</v>
      </c>
      <c r="X46" s="94">
        <f t="shared" si="20"/>
        <v>118800.00000000001</v>
      </c>
      <c r="Y46" s="94">
        <f t="shared" si="20"/>
        <v>118800.00000000001</v>
      </c>
      <c r="Z46" s="94">
        <f t="shared" si="20"/>
        <v>118800.00000000001</v>
      </c>
    </row>
    <row r="47" spans="2:26" ht="15" customHeight="1" x14ac:dyDescent="0.25">
      <c r="B47" s="351" t="s">
        <v>55</v>
      </c>
      <c r="C47" s="351"/>
      <c r="D47" s="351"/>
      <c r="E47" s="351"/>
      <c r="F47" s="351"/>
      <c r="G47" s="94">
        <f t="shared" ref="G47:Z47" si="21">G20</f>
        <v>84240.000000000015</v>
      </c>
      <c r="H47" s="94">
        <f t="shared" si="21"/>
        <v>84240.000000000015</v>
      </c>
      <c r="I47" s="94">
        <f t="shared" si="21"/>
        <v>84240.000000000015</v>
      </c>
      <c r="J47" s="94">
        <f t="shared" si="21"/>
        <v>84240.000000000015</v>
      </c>
      <c r="K47" s="94">
        <f t="shared" si="21"/>
        <v>84240.000000000015</v>
      </c>
      <c r="L47" s="94">
        <f t="shared" si="21"/>
        <v>84240.000000000015</v>
      </c>
      <c r="M47" s="94">
        <f t="shared" si="21"/>
        <v>84240.000000000015</v>
      </c>
      <c r="N47" s="94">
        <f t="shared" si="21"/>
        <v>84240.000000000015</v>
      </c>
      <c r="O47" s="94">
        <f t="shared" si="21"/>
        <v>84240.000000000015</v>
      </c>
      <c r="P47" s="94">
        <f t="shared" si="21"/>
        <v>84240.000000000015</v>
      </c>
      <c r="Q47" s="94">
        <f t="shared" si="21"/>
        <v>84240.000000000015</v>
      </c>
      <c r="R47" s="94">
        <f t="shared" si="21"/>
        <v>84240.000000000015</v>
      </c>
      <c r="S47" s="94">
        <f t="shared" si="21"/>
        <v>84240.000000000015</v>
      </c>
      <c r="T47" s="94">
        <f t="shared" si="21"/>
        <v>84240.000000000015</v>
      </c>
      <c r="U47" s="94">
        <f t="shared" si="21"/>
        <v>84240.000000000015</v>
      </c>
      <c r="V47" s="94">
        <f t="shared" si="21"/>
        <v>84240.000000000015</v>
      </c>
      <c r="W47" s="94">
        <f t="shared" si="21"/>
        <v>84240.000000000015</v>
      </c>
      <c r="X47" s="94">
        <f t="shared" si="21"/>
        <v>84240.000000000015</v>
      </c>
      <c r="Y47" s="94">
        <f t="shared" si="21"/>
        <v>84240.000000000015</v>
      </c>
      <c r="Z47" s="94">
        <f t="shared" si="21"/>
        <v>84240.000000000015</v>
      </c>
    </row>
    <row r="48" spans="2:26" ht="15" customHeight="1" x14ac:dyDescent="0.25">
      <c r="B48" s="330" t="s">
        <v>226</v>
      </c>
      <c r="C48" s="330"/>
      <c r="D48" s="330"/>
      <c r="E48" s="330"/>
      <c r="F48" s="330"/>
      <c r="G48" s="119">
        <f>G21</f>
        <v>1375593.8071625347</v>
      </c>
      <c r="H48" s="119">
        <f t="shared" ref="H48:Z48" si="22">H21</f>
        <v>1375593.8071625347</v>
      </c>
      <c r="I48" s="119">
        <f t="shared" si="22"/>
        <v>1375593.8071625347</v>
      </c>
      <c r="J48" s="119">
        <f t="shared" si="22"/>
        <v>1375593.8071625347</v>
      </c>
      <c r="K48" s="119">
        <f t="shared" si="22"/>
        <v>1375593.8071625347</v>
      </c>
      <c r="L48" s="119">
        <f t="shared" si="22"/>
        <v>1375593.8071625347</v>
      </c>
      <c r="M48" s="119">
        <f t="shared" si="22"/>
        <v>1375593.8071625347</v>
      </c>
      <c r="N48" s="119">
        <f t="shared" si="22"/>
        <v>1375593.8071625347</v>
      </c>
      <c r="O48" s="119">
        <f t="shared" si="22"/>
        <v>1375593.8071625347</v>
      </c>
      <c r="P48" s="119">
        <f t="shared" si="22"/>
        <v>1375593.8071625347</v>
      </c>
      <c r="Q48" s="119">
        <f t="shared" si="22"/>
        <v>1375593.8071625347</v>
      </c>
      <c r="R48" s="119">
        <f t="shared" si="22"/>
        <v>1375593.8071625347</v>
      </c>
      <c r="S48" s="119">
        <f t="shared" si="22"/>
        <v>1375593.8071625347</v>
      </c>
      <c r="T48" s="119">
        <f t="shared" si="22"/>
        <v>1375593.8071625347</v>
      </c>
      <c r="U48" s="119">
        <f t="shared" si="22"/>
        <v>1375593.8071625347</v>
      </c>
      <c r="V48" s="119">
        <f t="shared" si="22"/>
        <v>1375593.8071625347</v>
      </c>
      <c r="W48" s="119">
        <f t="shared" si="22"/>
        <v>1375593.8071625347</v>
      </c>
      <c r="X48" s="119">
        <f t="shared" si="22"/>
        <v>1375593.8071625347</v>
      </c>
      <c r="Y48" s="119">
        <f t="shared" si="22"/>
        <v>1375593.8071625347</v>
      </c>
      <c r="Z48" s="119">
        <f t="shared" si="22"/>
        <v>1375593.8071625347</v>
      </c>
    </row>
    <row r="49" spans="1:26" ht="15" customHeight="1" x14ac:dyDescent="0.25">
      <c r="B49" s="353" t="s">
        <v>266</v>
      </c>
      <c r="C49" s="354"/>
      <c r="D49" s="354"/>
      <c r="E49" s="354"/>
      <c r="F49" s="355"/>
      <c r="G49" s="119">
        <f>'Financiación '!D29</f>
        <v>1631986.6489060447</v>
      </c>
      <c r="H49" s="119">
        <f>'Financiación '!E29</f>
        <v>1468787.9840154401</v>
      </c>
      <c r="I49" s="119">
        <f>'Financiación '!F29</f>
        <v>1305589.3191248355</v>
      </c>
      <c r="J49" s="119">
        <f>'Financiación '!G29</f>
        <v>1142390.6542342312</v>
      </c>
      <c r="K49" s="119">
        <f>'Financiación '!H29</f>
        <v>979191.98934362654</v>
      </c>
      <c r="L49" s="119">
        <f>'Financiación '!I29</f>
        <v>815993.3244530221</v>
      </c>
      <c r="M49" s="119">
        <f>'Financiación '!J29</f>
        <v>652794.65956241754</v>
      </c>
      <c r="N49" s="119">
        <f>'Financiación '!K29</f>
        <v>489595.9946718131</v>
      </c>
      <c r="O49" s="119">
        <f>'Financiación '!L29</f>
        <v>326397.32978120865</v>
      </c>
      <c r="P49" s="119">
        <f>'Financiación '!M29</f>
        <v>163198.66489060418</v>
      </c>
      <c r="Q49" s="119">
        <v>0</v>
      </c>
      <c r="R49" s="119">
        <v>0</v>
      </c>
      <c r="S49" s="119">
        <v>0</v>
      </c>
      <c r="T49" s="119">
        <v>0</v>
      </c>
      <c r="U49" s="119">
        <v>0</v>
      </c>
      <c r="V49" s="119">
        <v>0</v>
      </c>
      <c r="W49" s="119">
        <v>0</v>
      </c>
      <c r="X49" s="119">
        <v>0</v>
      </c>
      <c r="Y49" s="119">
        <v>0</v>
      </c>
      <c r="Z49" s="119">
        <v>0</v>
      </c>
    </row>
    <row r="50" spans="1:26" ht="15" customHeight="1" x14ac:dyDescent="0.25">
      <c r="A50" s="67"/>
      <c r="B50" s="336" t="s">
        <v>110</v>
      </c>
      <c r="C50" s="337"/>
      <c r="D50" s="337"/>
      <c r="E50" s="337"/>
      <c r="F50" s="338"/>
      <c r="G50" s="108">
        <f>(G34-(G37+G40+G48+G49))</f>
        <v>2660033.7491562143</v>
      </c>
      <c r="H50" s="108">
        <f t="shared" ref="H50:Z50" si="23">(H34-(H37+H40+H48+H49))</f>
        <v>3287788.039924277</v>
      </c>
      <c r="I50" s="108">
        <f t="shared" si="23"/>
        <v>4190150.8364355238</v>
      </c>
      <c r="J50" s="108">
        <f t="shared" si="23"/>
        <v>5437699.3174826587</v>
      </c>
      <c r="K50" s="108">
        <f t="shared" si="23"/>
        <v>7141523.4115474802</v>
      </c>
      <c r="L50" s="108">
        <f t="shared" si="23"/>
        <v>9472626.3951241486</v>
      </c>
      <c r="M50" s="108">
        <f t="shared" si="23"/>
        <v>12693862.755088154</v>
      </c>
      <c r="N50" s="108">
        <f t="shared" si="23"/>
        <v>17212753.762349699</v>
      </c>
      <c r="O50" s="108">
        <f t="shared" si="23"/>
        <v>23669897.483700976</v>
      </c>
      <c r="P50" s="108">
        <f t="shared" si="23"/>
        <v>33089310.078798614</v>
      </c>
      <c r="Q50" s="108">
        <f t="shared" si="23"/>
        <v>47138618.929129928</v>
      </c>
      <c r="R50" s="108">
        <f t="shared" si="23"/>
        <v>68424668.75738202</v>
      </c>
      <c r="S50" s="108">
        <f t="shared" si="23"/>
        <v>101808016.46806292</v>
      </c>
      <c r="T50" s="108">
        <f t="shared" si="23"/>
        <v>155426448.71894518</v>
      </c>
      <c r="U50" s="108">
        <f t="shared" si="23"/>
        <v>243691292.85123998</v>
      </c>
      <c r="V50" s="108">
        <f t="shared" si="23"/>
        <v>392704702.65145856</v>
      </c>
      <c r="W50" s="108">
        <f t="shared" si="23"/>
        <v>392736315.72737652</v>
      </c>
      <c r="X50" s="108">
        <f t="shared" si="23"/>
        <v>392768981.51991838</v>
      </c>
      <c r="Y50" s="108">
        <f t="shared" si="23"/>
        <v>392802734.94896203</v>
      </c>
      <c r="Z50" s="108">
        <f t="shared" si="23"/>
        <v>392837612.08880967</v>
      </c>
    </row>
    <row r="51" spans="1:26" ht="15" customHeight="1" x14ac:dyDescent="0.25">
      <c r="A51" s="67"/>
      <c r="B51" s="352" t="s">
        <v>129</v>
      </c>
      <c r="C51" s="352"/>
      <c r="D51" s="352"/>
      <c r="E51" s="352"/>
      <c r="F51" s="352"/>
      <c r="G51" s="107">
        <f t="shared" ref="G51:Z51" si="24">(0.3*G50)</f>
        <v>798010.12474686431</v>
      </c>
      <c r="H51" s="107">
        <f t="shared" si="24"/>
        <v>986336.41197728307</v>
      </c>
      <c r="I51" s="107">
        <f t="shared" si="24"/>
        <v>1257045.2509306571</v>
      </c>
      <c r="J51" s="107">
        <f t="shared" si="24"/>
        <v>1631309.7952447976</v>
      </c>
      <c r="K51" s="107">
        <f t="shared" si="24"/>
        <v>2142457.0234642439</v>
      </c>
      <c r="L51" s="107">
        <f t="shared" si="24"/>
        <v>2841787.9185372447</v>
      </c>
      <c r="M51" s="107">
        <f t="shared" si="24"/>
        <v>3808158.8265264463</v>
      </c>
      <c r="N51" s="107">
        <f t="shared" si="24"/>
        <v>5163826.1287049092</v>
      </c>
      <c r="O51" s="107">
        <f t="shared" si="24"/>
        <v>7100969.2451102929</v>
      </c>
      <c r="P51" s="107">
        <f t="shared" si="24"/>
        <v>9926793.023639584</v>
      </c>
      <c r="Q51" s="107">
        <f t="shared" si="24"/>
        <v>14141585.678738978</v>
      </c>
      <c r="R51" s="107">
        <f t="shared" si="24"/>
        <v>20527400.627214607</v>
      </c>
      <c r="S51" s="107">
        <f t="shared" si="24"/>
        <v>30542404.940418877</v>
      </c>
      <c r="T51" s="107">
        <f t="shared" si="24"/>
        <v>46627934.615683548</v>
      </c>
      <c r="U51" s="107">
        <f t="shared" si="24"/>
        <v>73107387.855371997</v>
      </c>
      <c r="V51" s="107">
        <f t="shared" si="24"/>
        <v>117811410.79543756</v>
      </c>
      <c r="W51" s="107">
        <f t="shared" si="24"/>
        <v>117820894.71821295</v>
      </c>
      <c r="X51" s="107">
        <f t="shared" si="24"/>
        <v>117830694.45597552</v>
      </c>
      <c r="Y51" s="107">
        <f t="shared" si="24"/>
        <v>117840820.48468861</v>
      </c>
      <c r="Z51" s="107">
        <f t="shared" si="24"/>
        <v>117851283.6266429</v>
      </c>
    </row>
    <row r="52" spans="1:26" ht="15" customHeight="1" x14ac:dyDescent="0.25">
      <c r="A52" s="67"/>
      <c r="B52" s="336" t="s">
        <v>112</v>
      </c>
      <c r="C52" s="337"/>
      <c r="D52" s="337"/>
      <c r="E52" s="337"/>
      <c r="F52" s="338"/>
      <c r="G52" s="108">
        <f t="shared" ref="G52:Z52" si="25">G50-G51</f>
        <v>1862023.6244093501</v>
      </c>
      <c r="H52" s="108">
        <f t="shared" si="25"/>
        <v>2301451.6279469938</v>
      </c>
      <c r="I52" s="108">
        <f t="shared" si="25"/>
        <v>2933105.5855048667</v>
      </c>
      <c r="J52" s="108">
        <f t="shared" si="25"/>
        <v>3806389.5222378611</v>
      </c>
      <c r="K52" s="108">
        <f t="shared" si="25"/>
        <v>4999066.3880832363</v>
      </c>
      <c r="L52" s="108">
        <f t="shared" si="25"/>
        <v>6630838.4765869044</v>
      </c>
      <c r="M52" s="108">
        <f t="shared" si="25"/>
        <v>8885703.928561708</v>
      </c>
      <c r="N52" s="108">
        <f t="shared" si="25"/>
        <v>12048927.633644789</v>
      </c>
      <c r="O52" s="108">
        <f t="shared" si="25"/>
        <v>16568928.238590684</v>
      </c>
      <c r="P52" s="108">
        <f t="shared" si="25"/>
        <v>23162517.055159032</v>
      </c>
      <c r="Q52" s="108">
        <f t="shared" si="25"/>
        <v>32997033.250390951</v>
      </c>
      <c r="R52" s="108">
        <f t="shared" si="25"/>
        <v>47897268.13016741</v>
      </c>
      <c r="S52" s="108">
        <f t="shared" si="25"/>
        <v>71265611.527644038</v>
      </c>
      <c r="T52" s="108">
        <f t="shared" si="25"/>
        <v>108798514.10326162</v>
      </c>
      <c r="U52" s="108">
        <f t="shared" si="25"/>
        <v>170583904.99586797</v>
      </c>
      <c r="V52" s="108">
        <f t="shared" si="25"/>
        <v>274893291.85602099</v>
      </c>
      <c r="W52" s="108">
        <f t="shared" si="25"/>
        <v>274915421.00916356</v>
      </c>
      <c r="X52" s="108">
        <f t="shared" si="25"/>
        <v>274938287.06394285</v>
      </c>
      <c r="Y52" s="108">
        <f t="shared" si="25"/>
        <v>274961914.46427345</v>
      </c>
      <c r="Z52" s="108">
        <f t="shared" si="25"/>
        <v>274986328.46216679</v>
      </c>
    </row>
  </sheetData>
  <mergeCells count="41">
    <mergeCell ref="B46:F46"/>
    <mergeCell ref="B47:F47"/>
    <mergeCell ref="B49:F49"/>
    <mergeCell ref="B6:F6"/>
    <mergeCell ref="B19:F19"/>
    <mergeCell ref="B33:F33"/>
    <mergeCell ref="B21:F21"/>
    <mergeCell ref="B22:F22"/>
    <mergeCell ref="B8:F8"/>
    <mergeCell ref="B9:F9"/>
    <mergeCell ref="B7:F7"/>
    <mergeCell ref="B10:F10"/>
    <mergeCell ref="B11:F11"/>
    <mergeCell ref="B12:F12"/>
    <mergeCell ref="B20:F20"/>
    <mergeCell ref="B17:F17"/>
    <mergeCell ref="A2:B3"/>
    <mergeCell ref="A29:B30"/>
    <mergeCell ref="B23:F23"/>
    <mergeCell ref="B24:F24"/>
    <mergeCell ref="B13:F13"/>
    <mergeCell ref="B14:F14"/>
    <mergeCell ref="B15:F15"/>
    <mergeCell ref="B16:F16"/>
    <mergeCell ref="B18:F18"/>
    <mergeCell ref="B48:F48"/>
    <mergeCell ref="B52:F52"/>
    <mergeCell ref="B34:F34"/>
    <mergeCell ref="B35:F35"/>
    <mergeCell ref="B36:F36"/>
    <mergeCell ref="B37:F37"/>
    <mergeCell ref="B38:F38"/>
    <mergeCell ref="B39:F39"/>
    <mergeCell ref="B40:F40"/>
    <mergeCell ref="B41:F41"/>
    <mergeCell ref="B42:F42"/>
    <mergeCell ref="B50:F50"/>
    <mergeCell ref="B51:F51"/>
    <mergeCell ref="B43:F43"/>
    <mergeCell ref="B44:F44"/>
    <mergeCell ref="B45:F45"/>
  </mergeCells>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5"/>
  <sheetViews>
    <sheetView topLeftCell="A4" zoomScale="85" zoomScaleNormal="85" workbookViewId="0">
      <selection activeCell="I15" sqref="I15"/>
    </sheetView>
  </sheetViews>
  <sheetFormatPr baseColWidth="10" defaultRowHeight="15" x14ac:dyDescent="0.25"/>
  <cols>
    <col min="2" max="2" width="16.85546875" customWidth="1"/>
    <col min="3" max="3" width="12" customWidth="1"/>
    <col min="4" max="4" width="4.42578125" customWidth="1"/>
    <col min="9" max="9" width="72.140625" bestFit="1" customWidth="1"/>
    <col min="10" max="10" width="25.85546875" customWidth="1"/>
    <col min="11" max="11" width="24.85546875" bestFit="1" customWidth="1"/>
    <col min="16" max="16" width="13.42578125" customWidth="1"/>
  </cols>
  <sheetData>
    <row r="1" spans="2:16" x14ac:dyDescent="0.25">
      <c r="K1" s="26" t="s">
        <v>149</v>
      </c>
    </row>
    <row r="2" spans="2:16" x14ac:dyDescent="0.25">
      <c r="K2" s="359" t="s">
        <v>136</v>
      </c>
      <c r="L2" s="360"/>
      <c r="M2" s="360"/>
      <c r="N2" s="360"/>
      <c r="O2" s="360"/>
    </row>
    <row r="3" spans="2:16" ht="15.75" thickBot="1" x14ac:dyDescent="0.3">
      <c r="B3" s="329" t="s">
        <v>116</v>
      </c>
      <c r="C3" s="329"/>
      <c r="K3" s="30" t="s">
        <v>137</v>
      </c>
      <c r="L3" s="31" t="s">
        <v>138</v>
      </c>
      <c r="M3" s="31" t="s">
        <v>139</v>
      </c>
      <c r="N3" s="31" t="s">
        <v>140</v>
      </c>
      <c r="O3" s="31" t="s">
        <v>141</v>
      </c>
    </row>
    <row r="4" spans="2:16" ht="15" customHeight="1" thickBot="1" x14ac:dyDescent="0.3">
      <c r="B4" s="329"/>
      <c r="C4" s="329"/>
      <c r="K4" s="32" t="s">
        <v>142</v>
      </c>
      <c r="L4" s="33">
        <v>0.28000000000000003</v>
      </c>
      <c r="M4" s="33">
        <v>0.27</v>
      </c>
      <c r="N4" s="33">
        <v>0.26</v>
      </c>
      <c r="O4" s="33">
        <v>0.14000000000000001</v>
      </c>
    </row>
    <row r="5" spans="2:16" ht="15.75" thickBot="1" x14ac:dyDescent="0.3">
      <c r="K5" s="34" t="s">
        <v>143</v>
      </c>
      <c r="L5" s="35">
        <v>0.4</v>
      </c>
      <c r="M5" s="35">
        <v>0.37</v>
      </c>
      <c r="N5" s="35">
        <v>0.37</v>
      </c>
      <c r="O5" s="35">
        <v>0.45</v>
      </c>
    </row>
    <row r="6" spans="2:16" ht="15.75" thickBot="1" x14ac:dyDescent="0.3">
      <c r="B6" s="83" t="s">
        <v>114</v>
      </c>
      <c r="C6" s="5">
        <v>2.25</v>
      </c>
      <c r="D6" s="24"/>
      <c r="E6" t="s">
        <v>115</v>
      </c>
      <c r="H6" s="26" t="s">
        <v>134</v>
      </c>
      <c r="I6" t="s">
        <v>135</v>
      </c>
      <c r="J6" s="26" t="s">
        <v>162</v>
      </c>
      <c r="K6" s="32" t="s">
        <v>144</v>
      </c>
      <c r="L6" s="33">
        <v>0.78</v>
      </c>
      <c r="M6" s="33">
        <v>0.77</v>
      </c>
      <c r="N6" s="33">
        <v>0.83</v>
      </c>
      <c r="O6" s="33">
        <v>1.03</v>
      </c>
    </row>
    <row r="7" spans="2:16" ht="15.75" thickBot="1" x14ac:dyDescent="0.3">
      <c r="B7" s="83"/>
      <c r="C7" s="5"/>
      <c r="D7" s="24"/>
      <c r="H7" s="37"/>
      <c r="K7" s="34" t="s">
        <v>145</v>
      </c>
      <c r="L7" s="35">
        <v>0.98</v>
      </c>
      <c r="M7" s="35">
        <v>0.94</v>
      </c>
      <c r="N7" s="35">
        <v>1.05</v>
      </c>
      <c r="O7" s="35">
        <v>1.29</v>
      </c>
    </row>
    <row r="8" spans="2:16" ht="15.75" thickBot="1" x14ac:dyDescent="0.3">
      <c r="B8" s="83" t="s">
        <v>118</v>
      </c>
      <c r="C8" s="250">
        <v>0.96</v>
      </c>
      <c r="D8" s="24"/>
      <c r="E8" t="s">
        <v>121</v>
      </c>
      <c r="H8" s="26" t="s">
        <v>134</v>
      </c>
      <c r="I8" t="s">
        <v>150</v>
      </c>
      <c r="J8" s="26" t="s">
        <v>162</v>
      </c>
      <c r="K8" s="32" t="s">
        <v>146</v>
      </c>
      <c r="L8" s="33">
        <v>1.35</v>
      </c>
      <c r="M8" s="33">
        <v>1.3</v>
      </c>
      <c r="N8" s="33">
        <v>1.42</v>
      </c>
      <c r="O8" s="33">
        <v>1.74</v>
      </c>
    </row>
    <row r="9" spans="2:16" ht="15.75" thickBot="1" x14ac:dyDescent="0.3">
      <c r="B9" s="83" t="s">
        <v>117</v>
      </c>
      <c r="C9" s="5">
        <v>11.2</v>
      </c>
      <c r="D9" s="24"/>
      <c r="E9" t="s">
        <v>120</v>
      </c>
      <c r="K9" s="34" t="s">
        <v>147</v>
      </c>
      <c r="L9" s="35">
        <v>1.93</v>
      </c>
      <c r="M9" s="35">
        <v>1.9</v>
      </c>
      <c r="N9" s="35">
        <v>1.99</v>
      </c>
      <c r="O9" s="36">
        <v>2.25</v>
      </c>
    </row>
    <row r="10" spans="2:16" ht="14.25" customHeight="1" thickBot="1" x14ac:dyDescent="0.3">
      <c r="B10" s="83" t="s">
        <v>119</v>
      </c>
      <c r="C10" s="5">
        <f>266/100</f>
        <v>2.66</v>
      </c>
      <c r="D10" s="24"/>
      <c r="H10" s="26" t="s">
        <v>134</v>
      </c>
      <c r="I10" s="38" t="s">
        <v>158</v>
      </c>
      <c r="J10" s="26" t="s">
        <v>159</v>
      </c>
      <c r="K10" s="32" t="s">
        <v>148</v>
      </c>
      <c r="L10" s="33">
        <v>2.74</v>
      </c>
      <c r="M10" s="33">
        <v>2.73</v>
      </c>
      <c r="N10" s="33">
        <v>2.77</v>
      </c>
      <c r="O10" s="33">
        <v>3</v>
      </c>
    </row>
    <row r="11" spans="2:16" x14ac:dyDescent="0.25">
      <c r="B11" s="60"/>
      <c r="C11" s="24"/>
      <c r="D11" s="24"/>
      <c r="I11" s="167" t="s">
        <v>160</v>
      </c>
      <c r="J11" s="26" t="s">
        <v>161</v>
      </c>
    </row>
    <row r="12" spans="2:16" ht="18.75" x14ac:dyDescent="0.3">
      <c r="B12" s="129" t="s">
        <v>122</v>
      </c>
      <c r="C12" s="130">
        <f>(C6+C22*(C9-C6)+C10)/100</f>
        <v>0.22523599999999994</v>
      </c>
      <c r="E12" s="26" t="s">
        <v>113</v>
      </c>
      <c r="K12" s="26" t="s">
        <v>163</v>
      </c>
    </row>
    <row r="13" spans="2:16" ht="24" x14ac:dyDescent="0.25">
      <c r="B13" s="26"/>
      <c r="K13" s="43" t="s">
        <v>156</v>
      </c>
      <c r="L13" s="44" t="s">
        <v>151</v>
      </c>
      <c r="M13" s="44" t="s">
        <v>152</v>
      </c>
      <c r="N13" s="44" t="s">
        <v>153</v>
      </c>
      <c r="O13" s="44" t="s">
        <v>154</v>
      </c>
      <c r="P13" s="44" t="s">
        <v>155</v>
      </c>
    </row>
    <row r="14" spans="2:16" x14ac:dyDescent="0.25">
      <c r="B14" s="47" t="s">
        <v>126</v>
      </c>
      <c r="C14" s="5">
        <v>0.3</v>
      </c>
      <c r="E14" t="s">
        <v>129</v>
      </c>
      <c r="K14" s="40" t="s">
        <v>157</v>
      </c>
      <c r="L14" s="41">
        <v>51</v>
      </c>
      <c r="M14" s="41">
        <v>1.32</v>
      </c>
      <c r="N14" s="42">
        <v>0.41909999999999997</v>
      </c>
      <c r="O14" s="42">
        <v>0.1163</v>
      </c>
      <c r="P14" s="41">
        <v>0.96</v>
      </c>
    </row>
    <row r="15" spans="2:16" x14ac:dyDescent="0.25">
      <c r="B15" s="47" t="s">
        <v>127</v>
      </c>
      <c r="C15" s="14">
        <f>'Financiación '!D7</f>
        <v>23314094.984372064</v>
      </c>
      <c r="E15" t="s">
        <v>131</v>
      </c>
    </row>
    <row r="16" spans="2:16" x14ac:dyDescent="0.25">
      <c r="B16" s="47" t="s">
        <v>128</v>
      </c>
      <c r="C16" s="14">
        <f>C17-C15</f>
        <v>15542729.989581376</v>
      </c>
      <c r="E16" t="s">
        <v>130</v>
      </c>
    </row>
    <row r="17" spans="2:5" x14ac:dyDescent="0.25">
      <c r="B17" s="72" t="s">
        <v>165</v>
      </c>
      <c r="C17" s="14">
        <f>'Inv. y Dep.'!I16</f>
        <v>38856824.973953441</v>
      </c>
      <c r="E17" t="s">
        <v>164</v>
      </c>
    </row>
    <row r="18" spans="2:5" x14ac:dyDescent="0.25">
      <c r="B18" s="25"/>
      <c r="C18" s="29"/>
    </row>
    <row r="19" spans="2:5" ht="30" customHeight="1" x14ac:dyDescent="0.25">
      <c r="B19" s="329" t="s">
        <v>124</v>
      </c>
      <c r="C19" s="329"/>
    </row>
    <row r="20" spans="2:5" x14ac:dyDescent="0.25">
      <c r="B20" s="329"/>
      <c r="C20" s="329"/>
    </row>
    <row r="21" spans="2:5" x14ac:dyDescent="0.25">
      <c r="B21" s="39"/>
      <c r="C21" s="39"/>
    </row>
    <row r="22" spans="2:5" x14ac:dyDescent="0.25">
      <c r="B22" s="127" t="s">
        <v>125</v>
      </c>
      <c r="C22" s="128">
        <f>C8*(1+(1-C14)*(C15/C16))</f>
        <v>1.9679999999999997</v>
      </c>
      <c r="E22" s="26" t="s">
        <v>123</v>
      </c>
    </row>
    <row r="24" spans="2:5" ht="15" customHeight="1" x14ac:dyDescent="0.25">
      <c r="B24" s="361" t="s">
        <v>132</v>
      </c>
      <c r="C24" s="362"/>
      <c r="D24" s="362"/>
      <c r="E24" s="363"/>
    </row>
    <row r="25" spans="2:5" x14ac:dyDescent="0.25">
      <c r="B25" s="364"/>
      <c r="C25" s="365"/>
      <c r="D25" s="365"/>
      <c r="E25" s="366"/>
    </row>
    <row r="27" spans="2:5" ht="18.75" x14ac:dyDescent="0.3">
      <c r="B27" s="127" t="s">
        <v>269</v>
      </c>
      <c r="C27" s="183">
        <f>'Financiación '!D8</f>
        <v>7.0000000000000007E-2</v>
      </c>
      <c r="E27" s="132"/>
    </row>
    <row r="28" spans="2:5" x14ac:dyDescent="0.25">
      <c r="B28" s="26"/>
    </row>
    <row r="29" spans="2:5" ht="18.75" x14ac:dyDescent="0.3">
      <c r="B29" s="129" t="s">
        <v>133</v>
      </c>
      <c r="C29" s="131">
        <f>C12*(C16/(C15+C16))+C27*(1-C14)*(C15/(C15+C16))</f>
        <v>0.11949439999999997</v>
      </c>
      <c r="D29" s="21"/>
    </row>
    <row r="34" spans="5:5" x14ac:dyDescent="0.25">
      <c r="E34" s="248"/>
    </row>
    <row r="35" spans="5:5" x14ac:dyDescent="0.25">
      <c r="E35" s="248"/>
    </row>
  </sheetData>
  <mergeCells count="4">
    <mergeCell ref="K2:O2"/>
    <mergeCell ref="B3:C4"/>
    <mergeCell ref="B19:C20"/>
    <mergeCell ref="B24:E25"/>
  </mergeCells>
  <hyperlinks>
    <hyperlink ref="I11" r:id="rId1"/>
  </hyperlinks>
  <pageMargins left="0.7" right="0.7" top="0.75" bottom="0.75" header="0.3" footer="0.3"/>
  <pageSetup orientation="portrait" horizontalDpi="4294967293"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7"/>
  <sheetViews>
    <sheetView workbookViewId="0">
      <selection activeCell="M10" sqref="M10"/>
    </sheetView>
  </sheetViews>
  <sheetFormatPr baseColWidth="10" defaultRowHeight="15" x14ac:dyDescent="0.25"/>
  <cols>
    <col min="2" max="2" width="15.140625" customWidth="1"/>
    <col min="8" max="8" width="15.28515625" customWidth="1"/>
  </cols>
  <sheetData>
    <row r="2" spans="1:19" ht="18" x14ac:dyDescent="0.35">
      <c r="B2" s="279"/>
      <c r="C2" s="279"/>
      <c r="D2" s="280" t="s">
        <v>340</v>
      </c>
      <c r="E2" s="280"/>
      <c r="F2" s="280"/>
      <c r="G2" s="279"/>
      <c r="H2" s="279"/>
      <c r="I2" s="279"/>
      <c r="J2" s="279"/>
      <c r="K2" s="279"/>
      <c r="L2" s="279"/>
      <c r="M2" s="279"/>
      <c r="N2" s="279"/>
    </row>
    <row r="3" spans="1:19" x14ac:dyDescent="0.25">
      <c r="B3" s="279"/>
      <c r="C3" s="279"/>
      <c r="D3" s="279"/>
      <c r="E3" s="279"/>
      <c r="F3" s="279"/>
      <c r="G3" s="279"/>
      <c r="H3" s="279"/>
      <c r="I3" s="279"/>
      <c r="J3" s="279"/>
      <c r="K3" s="279"/>
      <c r="L3" s="279"/>
      <c r="M3" s="279"/>
      <c r="N3" s="279"/>
    </row>
    <row r="4" spans="1:19" ht="18" x14ac:dyDescent="0.35">
      <c r="B4" s="218" t="s">
        <v>341</v>
      </c>
      <c r="C4" s="218">
        <v>2.8220000000000001</v>
      </c>
      <c r="D4" s="279" t="s">
        <v>342</v>
      </c>
      <c r="E4" s="279"/>
      <c r="F4" s="279"/>
      <c r="G4" s="279"/>
      <c r="H4" s="279"/>
      <c r="I4" s="167"/>
      <c r="J4" s="279"/>
      <c r="K4" s="279"/>
      <c r="L4" s="218" t="s">
        <v>341</v>
      </c>
      <c r="M4" s="218">
        <v>2.8220000000000001</v>
      </c>
      <c r="N4" s="279" t="s">
        <v>342</v>
      </c>
      <c r="O4" s="279"/>
      <c r="P4" s="279"/>
      <c r="Q4" s="279"/>
      <c r="R4" s="279"/>
      <c r="S4" s="167"/>
    </row>
    <row r="5" spans="1:19" ht="18" x14ac:dyDescent="0.35">
      <c r="B5" s="218" t="s">
        <v>343</v>
      </c>
      <c r="C5" s="218">
        <v>7.6</v>
      </c>
      <c r="D5" s="279" t="s">
        <v>344</v>
      </c>
      <c r="E5" s="279"/>
      <c r="F5" s="279"/>
      <c r="G5" s="279"/>
      <c r="H5" s="279"/>
      <c r="I5" s="279"/>
      <c r="J5" s="279"/>
      <c r="K5" s="279"/>
      <c r="L5" s="218" t="s">
        <v>343</v>
      </c>
      <c r="M5" s="218">
        <v>7.6</v>
      </c>
      <c r="N5" s="279" t="s">
        <v>344</v>
      </c>
      <c r="O5" s="279"/>
      <c r="P5" s="279"/>
      <c r="Q5" s="279"/>
      <c r="R5" s="279"/>
      <c r="S5" s="279"/>
    </row>
    <row r="6" spans="1:19" x14ac:dyDescent="0.25">
      <c r="B6" s="281" t="s">
        <v>345</v>
      </c>
      <c r="C6" s="282">
        <f>I9</f>
        <v>0.91159796098436829</v>
      </c>
      <c r="D6" s="279"/>
      <c r="E6" s="279"/>
      <c r="F6" s="279"/>
      <c r="G6" s="279"/>
      <c r="H6" s="279"/>
      <c r="I6" s="279"/>
      <c r="J6" s="279"/>
      <c r="K6" s="279"/>
      <c r="L6" s="281" t="s">
        <v>345</v>
      </c>
      <c r="M6" s="282">
        <f>S9</f>
        <v>2.1878351063624839</v>
      </c>
      <c r="N6" s="279"/>
      <c r="O6" s="279"/>
      <c r="P6" s="279"/>
      <c r="Q6" s="279"/>
      <c r="R6" s="279"/>
      <c r="S6" s="279"/>
    </row>
    <row r="7" spans="1:19" ht="15.75" x14ac:dyDescent="0.25">
      <c r="B7" s="48" t="s">
        <v>356</v>
      </c>
      <c r="C7" s="296">
        <v>1.42</v>
      </c>
      <c r="D7" s="279"/>
      <c r="E7" s="279"/>
      <c r="F7" s="279"/>
      <c r="G7" s="279"/>
      <c r="H7" s="279"/>
      <c r="I7" s="279"/>
      <c r="J7" s="279"/>
      <c r="K7" s="279"/>
      <c r="L7" s="48" t="s">
        <v>356</v>
      </c>
      <c r="M7" s="278">
        <f>C7</f>
        <v>1.42</v>
      </c>
      <c r="N7" s="279"/>
      <c r="O7" s="279"/>
      <c r="P7" s="279"/>
      <c r="Q7" s="279"/>
      <c r="R7" s="279"/>
      <c r="S7" s="279"/>
    </row>
    <row r="8" spans="1:19" x14ac:dyDescent="0.25">
      <c r="D8" s="279"/>
      <c r="E8" s="279"/>
      <c r="F8" s="279"/>
      <c r="G8" s="279"/>
      <c r="H8" s="279" t="s">
        <v>346</v>
      </c>
      <c r="I8" s="279">
        <v>0.5</v>
      </c>
      <c r="J8" s="167"/>
      <c r="K8" s="279"/>
      <c r="N8" s="279"/>
      <c r="O8" s="279"/>
      <c r="P8" s="279"/>
      <c r="Q8" s="279"/>
      <c r="R8" s="279" t="s">
        <v>346</v>
      </c>
      <c r="S8" s="279">
        <v>1.2</v>
      </c>
    </row>
    <row r="9" spans="1:19" x14ac:dyDescent="0.25">
      <c r="B9" s="279"/>
      <c r="C9" s="278"/>
      <c r="D9" s="279"/>
      <c r="E9" s="279"/>
      <c r="F9" s="279"/>
      <c r="G9" s="279"/>
      <c r="H9" s="279" t="s">
        <v>347</v>
      </c>
      <c r="I9" s="18">
        <f>I8*(1+(1-C21)*(H15/H16))</f>
        <v>0.91159796098436829</v>
      </c>
      <c r="J9" s="279"/>
      <c r="K9" s="279"/>
      <c r="L9" s="279"/>
      <c r="M9" s="278"/>
      <c r="N9" s="279"/>
      <c r="O9" s="279"/>
      <c r="P9" s="279"/>
      <c r="Q9" s="279"/>
      <c r="R9" s="279" t="s">
        <v>347</v>
      </c>
      <c r="S9" s="18">
        <f>S8*(1+(1-M21)*(R15/R16))</f>
        <v>2.1878351063624839</v>
      </c>
    </row>
    <row r="10" spans="1:19" x14ac:dyDescent="0.25">
      <c r="A10" t="s">
        <v>274</v>
      </c>
      <c r="B10" s="286" t="s">
        <v>348</v>
      </c>
      <c r="C10" s="287">
        <f>C4+C5*C6+C7</f>
        <v>11.170144503481199</v>
      </c>
      <c r="D10" s="288" t="s">
        <v>349</v>
      </c>
      <c r="E10" s="279"/>
      <c r="F10" s="279"/>
      <c r="G10" s="279"/>
      <c r="H10" s="279"/>
      <c r="I10" s="279"/>
      <c r="J10" s="279"/>
      <c r="K10" s="279"/>
      <c r="L10" s="291" t="s">
        <v>348</v>
      </c>
      <c r="M10" s="292">
        <f>M4+M5*M6+M7</f>
        <v>20.869546808354876</v>
      </c>
      <c r="N10" s="293" t="s">
        <v>349</v>
      </c>
      <c r="O10" s="279"/>
      <c r="P10" s="279"/>
      <c r="Q10" s="279"/>
      <c r="R10" s="279"/>
      <c r="S10" s="279"/>
    </row>
    <row r="11" spans="1:19" x14ac:dyDescent="0.25">
      <c r="B11" s="279"/>
      <c r="C11" s="279"/>
      <c r="D11" s="279"/>
      <c r="E11" s="279"/>
      <c r="F11" s="279"/>
      <c r="G11" s="279"/>
      <c r="H11" s="279"/>
      <c r="I11" s="279"/>
      <c r="J11" s="279"/>
      <c r="K11" s="279"/>
      <c r="L11" s="279"/>
      <c r="M11" s="279"/>
      <c r="N11" s="279"/>
      <c r="O11" s="279"/>
      <c r="P11" s="279"/>
      <c r="Q11" s="279"/>
      <c r="R11" s="279"/>
      <c r="S11" s="279"/>
    </row>
    <row r="12" spans="1:19" x14ac:dyDescent="0.25">
      <c r="B12" s="279"/>
      <c r="C12" s="279"/>
      <c r="D12" s="279"/>
      <c r="E12" s="279"/>
      <c r="F12" s="279"/>
      <c r="G12" s="279"/>
      <c r="H12" s="279"/>
      <c r="I12" s="279"/>
      <c r="J12" s="279"/>
      <c r="K12" s="279"/>
      <c r="L12" s="279"/>
      <c r="M12" s="279"/>
      <c r="N12" s="279"/>
      <c r="O12" s="279"/>
      <c r="P12" s="279"/>
      <c r="Q12" s="279"/>
      <c r="R12" s="279"/>
      <c r="S12" s="279"/>
    </row>
    <row r="13" spans="1:19" x14ac:dyDescent="0.25">
      <c r="B13" s="283" t="s">
        <v>359</v>
      </c>
      <c r="C13" s="279"/>
      <c r="D13" s="279"/>
      <c r="E13" s="279"/>
      <c r="F13" s="279"/>
      <c r="G13" s="279"/>
      <c r="H13" s="279"/>
      <c r="I13" s="279"/>
      <c r="J13" s="279"/>
      <c r="K13" s="279"/>
      <c r="L13" s="283" t="s">
        <v>359</v>
      </c>
      <c r="M13" s="279"/>
      <c r="N13" s="279"/>
      <c r="O13" s="279"/>
      <c r="P13" s="279"/>
      <c r="Q13" s="279"/>
      <c r="R13" s="279"/>
      <c r="S13" s="279"/>
    </row>
    <row r="14" spans="1:19" x14ac:dyDescent="0.25">
      <c r="B14" s="368" t="s">
        <v>230</v>
      </c>
      <c r="C14" s="368"/>
      <c r="D14" s="368"/>
      <c r="E14" s="279"/>
      <c r="F14" s="368" t="s">
        <v>240</v>
      </c>
      <c r="G14" s="368"/>
      <c r="H14" s="284"/>
      <c r="I14" s="279"/>
      <c r="J14" s="279"/>
      <c r="K14" s="279"/>
      <c r="L14" s="368" t="s">
        <v>230</v>
      </c>
      <c r="M14" s="368"/>
      <c r="N14" s="368"/>
      <c r="O14" s="279"/>
      <c r="P14" s="368" t="s">
        <v>240</v>
      </c>
      <c r="Q14" s="368"/>
      <c r="R14" s="284"/>
      <c r="S14" s="279"/>
    </row>
    <row r="15" spans="1:19" x14ac:dyDescent="0.25">
      <c r="B15" s="285" t="s">
        <v>350</v>
      </c>
      <c r="C15" s="367">
        <v>278077</v>
      </c>
      <c r="D15" s="367"/>
      <c r="E15" s="279"/>
      <c r="F15" s="369" t="s">
        <v>351</v>
      </c>
      <c r="G15" s="369"/>
      <c r="H15" s="367">
        <v>1220856</v>
      </c>
      <c r="I15" s="367"/>
      <c r="J15" s="279"/>
      <c r="K15" s="279"/>
      <c r="L15" s="285" t="s">
        <v>350</v>
      </c>
      <c r="M15" s="367">
        <v>278077</v>
      </c>
      <c r="N15" s="367"/>
      <c r="O15" s="279"/>
      <c r="P15" s="369" t="s">
        <v>351</v>
      </c>
      <c r="Q15" s="369"/>
      <c r="R15" s="367">
        <v>1220856</v>
      </c>
      <c r="S15" s="367"/>
    </row>
    <row r="16" spans="1:19" x14ac:dyDescent="0.25">
      <c r="B16" s="285" t="s">
        <v>352</v>
      </c>
      <c r="C16" s="367">
        <v>1980927</v>
      </c>
      <c r="D16" s="367"/>
      <c r="E16" s="279"/>
      <c r="F16" s="318" t="s">
        <v>353</v>
      </c>
      <c r="G16" s="318"/>
      <c r="H16" s="367">
        <v>1038148</v>
      </c>
      <c r="I16" s="367"/>
      <c r="J16" s="279"/>
      <c r="K16" s="279"/>
      <c r="L16" s="285" t="s">
        <v>352</v>
      </c>
      <c r="M16" s="367">
        <v>1980927</v>
      </c>
      <c r="N16" s="367"/>
      <c r="O16" s="279"/>
      <c r="P16" s="318" t="s">
        <v>353</v>
      </c>
      <c r="Q16" s="318"/>
      <c r="R16" s="367">
        <v>1038148</v>
      </c>
      <c r="S16" s="367"/>
    </row>
    <row r="17" spans="2:19" x14ac:dyDescent="0.25">
      <c r="B17" s="279"/>
      <c r="C17" s="367">
        <f>C15+C16</f>
        <v>2259004</v>
      </c>
      <c r="D17" s="367"/>
      <c r="E17" s="279"/>
      <c r="F17" s="279"/>
      <c r="G17" s="279"/>
      <c r="H17" s="367">
        <f>H15+H16</f>
        <v>2259004</v>
      </c>
      <c r="I17" s="367"/>
      <c r="J17" s="279"/>
      <c r="K17" s="279"/>
      <c r="L17" s="279"/>
      <c r="M17" s="367">
        <f>M15+M16</f>
        <v>2259004</v>
      </c>
      <c r="N17" s="367"/>
      <c r="O17" s="279"/>
      <c r="P17" s="279"/>
      <c r="Q17" s="279"/>
      <c r="R17" s="367">
        <f>R15+R16</f>
        <v>2259004</v>
      </c>
      <c r="S17" s="367"/>
    </row>
    <row r="18" spans="2:19" x14ac:dyDescent="0.25">
      <c r="B18" s="279"/>
      <c r="C18" s="279"/>
      <c r="D18" s="279"/>
      <c r="E18" s="279"/>
      <c r="F18" s="279"/>
      <c r="G18" s="279"/>
      <c r="H18" s="279"/>
      <c r="I18" s="279"/>
      <c r="J18" s="279"/>
      <c r="K18" s="279"/>
      <c r="L18" s="279"/>
      <c r="M18" s="279"/>
      <c r="N18" s="279"/>
      <c r="O18" s="279"/>
      <c r="P18" s="279"/>
      <c r="Q18" s="279"/>
      <c r="R18" s="279"/>
      <c r="S18" s="279"/>
    </row>
    <row r="19" spans="2:19" x14ac:dyDescent="0.25">
      <c r="B19" s="279" t="s">
        <v>358</v>
      </c>
      <c r="C19" s="279">
        <v>3.3</v>
      </c>
      <c r="D19" s="279" t="s">
        <v>349</v>
      </c>
      <c r="E19" s="279"/>
      <c r="F19" s="279"/>
      <c r="G19" s="279"/>
      <c r="H19" s="279"/>
      <c r="I19" s="279"/>
      <c r="J19" s="279"/>
      <c r="K19" s="279"/>
      <c r="L19" s="279" t="s">
        <v>358</v>
      </c>
      <c r="M19" s="279">
        <v>7</v>
      </c>
      <c r="N19" s="279" t="s">
        <v>349</v>
      </c>
      <c r="O19" s="279"/>
      <c r="P19" s="279"/>
      <c r="Q19" s="279"/>
      <c r="R19" s="279"/>
      <c r="S19" s="279"/>
    </row>
    <row r="20" spans="2:19" x14ac:dyDescent="0.25">
      <c r="B20" s="279" t="s">
        <v>357</v>
      </c>
      <c r="C20" s="18">
        <f>C10</f>
        <v>11.170144503481199</v>
      </c>
      <c r="D20" s="279" t="s">
        <v>349</v>
      </c>
      <c r="E20" s="279"/>
      <c r="F20" s="279"/>
      <c r="G20" s="279"/>
      <c r="H20" s="279"/>
      <c r="I20" s="279"/>
      <c r="J20" s="279"/>
      <c r="K20" s="279"/>
      <c r="L20" s="279" t="s">
        <v>357</v>
      </c>
      <c r="M20" s="18">
        <f>M10</f>
        <v>20.869546808354876</v>
      </c>
      <c r="N20" s="279" t="s">
        <v>349</v>
      </c>
      <c r="O20" s="279"/>
      <c r="P20" s="279"/>
      <c r="Q20" s="279"/>
      <c r="R20" s="279"/>
      <c r="S20" s="279"/>
    </row>
    <row r="21" spans="2:19" x14ac:dyDescent="0.25">
      <c r="B21" s="279" t="s">
        <v>354</v>
      </c>
      <c r="C21" s="21">
        <v>0.3</v>
      </c>
      <c r="D21" s="279"/>
      <c r="E21" s="279"/>
      <c r="F21" s="279"/>
      <c r="G21" s="279"/>
      <c r="H21" s="279"/>
      <c r="I21" s="279"/>
      <c r="J21" s="279"/>
      <c r="K21" s="279"/>
      <c r="L21" s="279" t="s">
        <v>354</v>
      </c>
      <c r="M21" s="21">
        <v>0.3</v>
      </c>
      <c r="N21" s="279"/>
      <c r="O21" s="279"/>
      <c r="P21" s="279"/>
      <c r="Q21" s="279"/>
      <c r="R21" s="279"/>
      <c r="S21" s="279"/>
    </row>
    <row r="22" spans="2:19" x14ac:dyDescent="0.25">
      <c r="B22" s="279"/>
      <c r="C22" s="279"/>
      <c r="D22" s="279"/>
      <c r="E22" s="279"/>
      <c r="F22" s="279"/>
      <c r="G22" s="279"/>
      <c r="H22" s="279"/>
      <c r="I22" s="279"/>
      <c r="J22" s="279"/>
      <c r="K22" s="279"/>
      <c r="L22" s="279"/>
      <c r="M22" s="279"/>
      <c r="N22" s="279"/>
      <c r="O22" s="279"/>
      <c r="P22" s="279"/>
      <c r="Q22" s="279"/>
      <c r="R22" s="279"/>
      <c r="S22" s="279"/>
    </row>
    <row r="23" spans="2:19" x14ac:dyDescent="0.25">
      <c r="B23" s="288" t="s">
        <v>355</v>
      </c>
      <c r="C23" s="289">
        <f>C19*(1-C21)*(H15/H17)+C10*H16/H17</f>
        <v>6.3817684855803698</v>
      </c>
      <c r="D23" s="290" t="s">
        <v>349</v>
      </c>
      <c r="E23" s="279"/>
      <c r="F23" s="279"/>
      <c r="G23" s="279"/>
      <c r="H23" s="279"/>
      <c r="I23" s="279"/>
      <c r="J23" s="279"/>
      <c r="K23" s="279"/>
      <c r="L23" s="293" t="s">
        <v>355</v>
      </c>
      <c r="M23" s="294">
        <f>3.5*0.7*(R15/R17)+20.83*R16/R17</f>
        <v>10.896713790679431</v>
      </c>
      <c r="N23" s="295" t="s">
        <v>349</v>
      </c>
      <c r="O23" s="279"/>
      <c r="P23" s="279"/>
      <c r="Q23" s="279"/>
      <c r="R23" s="279"/>
      <c r="S23" s="279"/>
    </row>
    <row r="24" spans="2:19" x14ac:dyDescent="0.25">
      <c r="B24" s="279"/>
      <c r="C24" s="279"/>
      <c r="D24" s="279"/>
      <c r="E24" s="279"/>
      <c r="F24" s="279"/>
      <c r="G24" s="279"/>
      <c r="H24" s="279"/>
      <c r="I24" s="279"/>
      <c r="J24" s="279"/>
      <c r="K24" s="279"/>
      <c r="L24" s="279"/>
      <c r="M24" s="279"/>
      <c r="N24" s="279"/>
      <c r="O24" s="279"/>
      <c r="P24" s="279"/>
      <c r="Q24" s="279"/>
      <c r="R24" s="279"/>
      <c r="S24" s="279"/>
    </row>
    <row r="26" spans="2:19" x14ac:dyDescent="0.25">
      <c r="B26" s="361" t="s">
        <v>132</v>
      </c>
      <c r="C26" s="362"/>
      <c r="D26" s="362"/>
      <c r="E26" s="363"/>
    </row>
    <row r="27" spans="2:19" x14ac:dyDescent="0.25">
      <c r="B27" s="364"/>
      <c r="C27" s="365"/>
      <c r="D27" s="365"/>
      <c r="E27" s="366"/>
    </row>
  </sheetData>
  <mergeCells count="21">
    <mergeCell ref="L14:N14"/>
    <mergeCell ref="P14:Q14"/>
    <mergeCell ref="M15:N15"/>
    <mergeCell ref="P15:Q15"/>
    <mergeCell ref="B14:D14"/>
    <mergeCell ref="F14:G14"/>
    <mergeCell ref="C15:D15"/>
    <mergeCell ref="F15:G15"/>
    <mergeCell ref="H15:I15"/>
    <mergeCell ref="B26:E27"/>
    <mergeCell ref="R15:S15"/>
    <mergeCell ref="M16:N16"/>
    <mergeCell ref="P16:Q16"/>
    <mergeCell ref="R16:S16"/>
    <mergeCell ref="M17:N17"/>
    <mergeCell ref="R17:S17"/>
    <mergeCell ref="C17:D17"/>
    <mergeCell ref="H17:I17"/>
    <mergeCell ref="C16:D16"/>
    <mergeCell ref="F16:G16"/>
    <mergeCell ref="H16:I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25"/>
  <sheetViews>
    <sheetView topLeftCell="B1" zoomScale="90" zoomScaleNormal="90" workbookViewId="0">
      <selection activeCell="F30" sqref="F30"/>
    </sheetView>
  </sheetViews>
  <sheetFormatPr baseColWidth="10" defaultRowHeight="15" x14ac:dyDescent="0.25"/>
  <cols>
    <col min="4" max="4" width="24.7109375" customWidth="1"/>
    <col min="5" max="5" width="12.7109375" customWidth="1"/>
    <col min="6" max="15" width="10.7109375" customWidth="1"/>
    <col min="16" max="16" width="14.42578125" bestFit="1" customWidth="1"/>
    <col min="17" max="18" width="14" bestFit="1" customWidth="1"/>
    <col min="19" max="19" width="13.5703125" bestFit="1" customWidth="1"/>
    <col min="20" max="20" width="14.7109375" bestFit="1" customWidth="1"/>
    <col min="21" max="21" width="15.5703125" bestFit="1" customWidth="1"/>
    <col min="22" max="22" width="15.140625" bestFit="1" customWidth="1"/>
    <col min="23" max="24" width="15.5703125" bestFit="1" customWidth="1"/>
    <col min="25" max="25" width="16.85546875" bestFit="1" customWidth="1"/>
  </cols>
  <sheetData>
    <row r="2" spans="2:25" x14ac:dyDescent="0.25">
      <c r="B2" s="314" t="s">
        <v>216</v>
      </c>
      <c r="C2" s="314"/>
      <c r="D2" s="314"/>
      <c r="E2" s="314"/>
    </row>
    <row r="3" spans="2:25" x14ac:dyDescent="0.25">
      <c r="B3" s="314"/>
      <c r="C3" s="314"/>
      <c r="D3" s="314"/>
      <c r="E3" s="314"/>
    </row>
    <row r="6" spans="2:25" x14ac:dyDescent="0.25">
      <c r="C6" s="371"/>
      <c r="D6" s="371"/>
      <c r="E6" s="82">
        <v>0</v>
      </c>
      <c r="F6" s="82">
        <v>1</v>
      </c>
      <c r="G6" s="82">
        <v>2</v>
      </c>
      <c r="H6" s="82">
        <v>3</v>
      </c>
      <c r="I6" s="82">
        <v>4</v>
      </c>
      <c r="J6" s="82">
        <v>5</v>
      </c>
      <c r="K6" s="82">
        <v>6</v>
      </c>
      <c r="L6" s="82">
        <v>7</v>
      </c>
      <c r="M6" s="82">
        <v>8</v>
      </c>
      <c r="N6" s="82">
        <v>9</v>
      </c>
      <c r="O6" s="82">
        <v>10</v>
      </c>
      <c r="P6" s="82">
        <v>11</v>
      </c>
      <c r="Q6" s="82">
        <v>12</v>
      </c>
      <c r="R6" s="82">
        <v>13</v>
      </c>
      <c r="S6" s="82">
        <v>14</v>
      </c>
      <c r="T6" s="82">
        <v>15</v>
      </c>
      <c r="U6" s="82">
        <v>16</v>
      </c>
      <c r="V6" s="82">
        <v>17</v>
      </c>
      <c r="W6" s="82">
        <v>18</v>
      </c>
      <c r="X6" s="82">
        <v>19</v>
      </c>
      <c r="Y6" s="82">
        <v>20</v>
      </c>
    </row>
    <row r="7" spans="2:25" x14ac:dyDescent="0.25">
      <c r="C7" s="372" t="s">
        <v>173</v>
      </c>
      <c r="D7" s="372"/>
      <c r="E7" s="5"/>
      <c r="F7" s="49"/>
      <c r="G7" s="49"/>
      <c r="H7" s="49"/>
      <c r="I7" s="49"/>
      <c r="J7" s="49"/>
      <c r="K7" s="49"/>
      <c r="L7" s="49"/>
      <c r="M7" s="49"/>
      <c r="N7" s="49"/>
      <c r="O7" s="49"/>
      <c r="P7" s="49"/>
      <c r="Q7" s="49"/>
      <c r="R7" s="49"/>
      <c r="S7" s="49"/>
      <c r="T7" s="49"/>
      <c r="U7" s="49"/>
      <c r="V7" s="49"/>
      <c r="W7" s="49"/>
      <c r="X7" s="49"/>
      <c r="Y7" s="49"/>
    </row>
    <row r="8" spans="2:25" x14ac:dyDescent="0.25">
      <c r="C8" s="370" t="s">
        <v>172</v>
      </c>
      <c r="D8" s="370"/>
      <c r="E8" s="79"/>
      <c r="F8" s="94">
        <f>'P y G'!G24</f>
        <v>3004414.2786435811</v>
      </c>
      <c r="G8" s="94">
        <f>'P y G'!H24</f>
        <v>3329603.2167578023</v>
      </c>
      <c r="H8" s="94">
        <f>'P y G'!I24</f>
        <v>3847018.1088922517</v>
      </c>
      <c r="I8" s="94">
        <f>'P y G'!J24</f>
        <v>4606062.9802018236</v>
      </c>
      <c r="J8" s="94">
        <f>'P y G'!K24</f>
        <v>5684500.780623775</v>
      </c>
      <c r="K8" s="94">
        <f>'P y G'!L24</f>
        <v>7202033.8037040196</v>
      </c>
      <c r="L8" s="94">
        <f>'P y G'!M24</f>
        <v>9342660.1902553998</v>
      </c>
      <c r="M8" s="94">
        <f>'P y G'!N24</f>
        <v>12391644.829915058</v>
      </c>
      <c r="N8" s="94">
        <f>'P y G'!O24</f>
        <v>16797406.369437531</v>
      </c>
      <c r="O8" s="94">
        <f>'P y G'!P24</f>
        <v>23276756.120582454</v>
      </c>
      <c r="P8" s="94">
        <f>'P y G'!Q24</f>
        <v>32997033.250390951</v>
      </c>
      <c r="Q8" s="94">
        <f>'P y G'!R24</f>
        <v>47897268.13016741</v>
      </c>
      <c r="R8" s="94">
        <f>'P y G'!S24</f>
        <v>71265611.527644038</v>
      </c>
      <c r="S8" s="94">
        <f>'P y G'!T24</f>
        <v>108798514.10326162</v>
      </c>
      <c r="T8" s="94">
        <f>'P y G'!U24</f>
        <v>170583904.99586797</v>
      </c>
      <c r="U8" s="94">
        <f>'P y G'!V24</f>
        <v>274893291.85602099</v>
      </c>
      <c r="V8" s="94">
        <f>'P y G'!W24</f>
        <v>274915421.00916356</v>
      </c>
      <c r="W8" s="94">
        <f>'P y G'!X24</f>
        <v>274938287.06394285</v>
      </c>
      <c r="X8" s="94">
        <f>'P y G'!Y24</f>
        <v>274961914.46427345</v>
      </c>
      <c r="Y8" s="94">
        <f>'P y G'!Z24</f>
        <v>274986328.46216679</v>
      </c>
    </row>
    <row r="9" spans="2:25" x14ac:dyDescent="0.25">
      <c r="C9" s="370" t="s">
        <v>171</v>
      </c>
      <c r="D9" s="370"/>
      <c r="E9" s="79"/>
      <c r="F9" s="94">
        <f>'P y G'!$G$21</f>
        <v>1375593.8071625347</v>
      </c>
      <c r="G9" s="94">
        <f>'P y G'!$G$21</f>
        <v>1375593.8071625347</v>
      </c>
      <c r="H9" s="94">
        <f>'P y G'!$G$21</f>
        <v>1375593.8071625347</v>
      </c>
      <c r="I9" s="94">
        <f>'P y G'!$G$21</f>
        <v>1375593.8071625347</v>
      </c>
      <c r="J9" s="94">
        <f>'P y G'!$G$21</f>
        <v>1375593.8071625347</v>
      </c>
      <c r="K9" s="94">
        <f>'P y G'!$G$21</f>
        <v>1375593.8071625347</v>
      </c>
      <c r="L9" s="94">
        <f>'P y G'!$G$21</f>
        <v>1375593.8071625347</v>
      </c>
      <c r="M9" s="94">
        <f>'P y G'!$G$21</f>
        <v>1375593.8071625347</v>
      </c>
      <c r="N9" s="94">
        <f>'P y G'!$G$21</f>
        <v>1375593.8071625347</v>
      </c>
      <c r="O9" s="94">
        <f>'P y G'!$G$21</f>
        <v>1375593.8071625347</v>
      </c>
      <c r="P9" s="94">
        <f>'P y G'!$G$21</f>
        <v>1375593.8071625347</v>
      </c>
      <c r="Q9" s="94">
        <f>'P y G'!$G$21</f>
        <v>1375593.8071625347</v>
      </c>
      <c r="R9" s="94">
        <f>'P y G'!$G$21</f>
        <v>1375593.8071625347</v>
      </c>
      <c r="S9" s="94">
        <f>'P y G'!$G$21</f>
        <v>1375593.8071625347</v>
      </c>
      <c r="T9" s="94">
        <f>'P y G'!$G$21</f>
        <v>1375593.8071625347</v>
      </c>
      <c r="U9" s="94">
        <f>'P y G'!$G$21</f>
        <v>1375593.8071625347</v>
      </c>
      <c r="V9" s="94">
        <f>'P y G'!$G$21</f>
        <v>1375593.8071625347</v>
      </c>
      <c r="W9" s="94">
        <f>'P y G'!$G$21</f>
        <v>1375593.8071625347</v>
      </c>
      <c r="X9" s="94">
        <f>'P y G'!$G$21</f>
        <v>1375593.8071625347</v>
      </c>
      <c r="Y9" s="94">
        <f>'P y G'!$G$21</f>
        <v>1375593.8071625347</v>
      </c>
    </row>
    <row r="10" spans="2:25" x14ac:dyDescent="0.25">
      <c r="C10" s="370" t="s">
        <v>170</v>
      </c>
      <c r="D10" s="370"/>
      <c r="E10" s="79"/>
      <c r="F10" s="94"/>
      <c r="G10" s="94"/>
      <c r="H10" s="94"/>
      <c r="I10" s="94"/>
      <c r="J10" s="94"/>
      <c r="K10" s="94"/>
      <c r="L10" s="94"/>
      <c r="M10" s="94"/>
      <c r="N10" s="94"/>
      <c r="O10" s="94"/>
      <c r="P10" s="94"/>
      <c r="Q10" s="94"/>
      <c r="R10" s="94"/>
      <c r="S10" s="94"/>
      <c r="T10" s="94"/>
      <c r="U10" s="94"/>
      <c r="V10" s="94"/>
      <c r="W10" s="94"/>
      <c r="X10" s="94"/>
      <c r="Y10" s="94"/>
    </row>
    <row r="11" spans="2:25" x14ac:dyDescent="0.25">
      <c r="C11" s="370" t="s">
        <v>169</v>
      </c>
      <c r="D11" s="370"/>
      <c r="E11" s="79">
        <f>'Inv. y Dep.'!I16</f>
        <v>38856824.973953441</v>
      </c>
      <c r="F11" s="94"/>
      <c r="G11" s="94"/>
      <c r="H11" s="94"/>
      <c r="I11" s="94"/>
      <c r="J11" s="94"/>
      <c r="K11" s="94"/>
      <c r="L11" s="94"/>
      <c r="M11" s="94"/>
      <c r="N11" s="94"/>
      <c r="O11" s="94"/>
      <c r="P11" s="94"/>
      <c r="Q11" s="94"/>
      <c r="R11" s="94"/>
      <c r="S11" s="94"/>
      <c r="T11" s="94"/>
      <c r="U11" s="94"/>
      <c r="V11" s="94"/>
      <c r="W11" s="94"/>
      <c r="X11" s="94"/>
      <c r="Y11" s="94"/>
    </row>
    <row r="12" spans="2:25" x14ac:dyDescent="0.25">
      <c r="C12" s="370" t="s">
        <v>168</v>
      </c>
      <c r="D12" s="370"/>
      <c r="E12" s="79"/>
      <c r="F12" s="94"/>
      <c r="G12" s="94"/>
      <c r="H12" s="94"/>
      <c r="I12" s="94"/>
      <c r="J12" s="94"/>
      <c r="K12" s="94"/>
      <c r="L12" s="94"/>
      <c r="M12" s="94"/>
      <c r="N12" s="94"/>
      <c r="O12" s="94"/>
      <c r="P12" s="94"/>
      <c r="Q12" s="94"/>
      <c r="R12" s="94"/>
      <c r="S12" s="94"/>
      <c r="T12" s="94"/>
      <c r="U12" s="94"/>
      <c r="V12" s="94"/>
      <c r="W12" s="94"/>
      <c r="X12" s="94"/>
      <c r="Y12" s="94">
        <f>'Cap. de Trab.'!D14</f>
        <v>3745644.2577</v>
      </c>
    </row>
    <row r="13" spans="2:25" x14ac:dyDescent="0.25">
      <c r="C13" s="370" t="s">
        <v>270</v>
      </c>
      <c r="D13" s="370"/>
      <c r="E13" s="79"/>
      <c r="F13" s="94"/>
      <c r="G13" s="94"/>
      <c r="H13" s="94"/>
      <c r="I13" s="94"/>
      <c r="J13" s="94"/>
      <c r="K13" s="94"/>
      <c r="L13" s="94"/>
      <c r="M13" s="94"/>
      <c r="N13" s="94"/>
      <c r="O13" s="94"/>
      <c r="P13" s="94"/>
      <c r="Q13" s="94"/>
      <c r="R13" s="94"/>
      <c r="S13" s="94"/>
      <c r="T13" s="94"/>
      <c r="U13" s="94"/>
      <c r="V13" s="94"/>
      <c r="W13" s="94"/>
      <c r="X13" s="94"/>
      <c r="Y13" s="94">
        <f>'Inv. y Dep.'!F54</f>
        <v>2940315.592286502</v>
      </c>
    </row>
    <row r="14" spans="2:25" x14ac:dyDescent="0.25">
      <c r="C14" s="347" t="s">
        <v>185</v>
      </c>
      <c r="D14" s="347"/>
      <c r="E14" s="155">
        <f>-E11</f>
        <v>-38856824.973953441</v>
      </c>
      <c r="F14" s="156">
        <f>SUM(F8:F9)</f>
        <v>4380008.0858061155</v>
      </c>
      <c r="G14" s="156">
        <f t="shared" ref="G14:X14" si="0">SUM(G8:G9)</f>
        <v>4705197.0239203367</v>
      </c>
      <c r="H14" s="156">
        <f t="shared" si="0"/>
        <v>5222611.9160547862</v>
      </c>
      <c r="I14" s="156">
        <f t="shared" si="0"/>
        <v>5981656.7873643581</v>
      </c>
      <c r="J14" s="156">
        <f t="shared" si="0"/>
        <v>7060094.5877863094</v>
      </c>
      <c r="K14" s="156">
        <f t="shared" si="0"/>
        <v>8577627.6108665541</v>
      </c>
      <c r="L14" s="156">
        <f t="shared" si="0"/>
        <v>10718253.997417934</v>
      </c>
      <c r="M14" s="156">
        <f t="shared" si="0"/>
        <v>13767238.637077592</v>
      </c>
      <c r="N14" s="156">
        <f t="shared" si="0"/>
        <v>18173000.176600065</v>
      </c>
      <c r="O14" s="156">
        <f t="shared" si="0"/>
        <v>24652349.927744988</v>
      </c>
      <c r="P14" s="156">
        <f t="shared" si="0"/>
        <v>34372627.057553485</v>
      </c>
      <c r="Q14" s="156">
        <f t="shared" si="0"/>
        <v>49272861.937329948</v>
      </c>
      <c r="R14" s="156">
        <f t="shared" si="0"/>
        <v>72641205.334806576</v>
      </c>
      <c r="S14" s="156">
        <f t="shared" si="0"/>
        <v>110174107.91042416</v>
      </c>
      <c r="T14" s="156">
        <f t="shared" si="0"/>
        <v>171959498.80303049</v>
      </c>
      <c r="U14" s="156">
        <f t="shared" si="0"/>
        <v>276268885.66318351</v>
      </c>
      <c r="V14" s="156">
        <f t="shared" si="0"/>
        <v>276291014.81632608</v>
      </c>
      <c r="W14" s="156">
        <f t="shared" si="0"/>
        <v>276313880.87110537</v>
      </c>
      <c r="X14" s="156">
        <f t="shared" si="0"/>
        <v>276337508.27143598</v>
      </c>
      <c r="Y14" s="156">
        <f>SUM(Y8:Y13)</f>
        <v>283047882.11931586</v>
      </c>
    </row>
    <row r="16" spans="2:25" x14ac:dyDescent="0.25">
      <c r="E16" s="57"/>
      <c r="F16" s="57"/>
      <c r="G16" s="57"/>
      <c r="H16" s="57"/>
      <c r="I16" s="57"/>
      <c r="J16" s="57"/>
      <c r="K16" s="57"/>
      <c r="L16" s="57"/>
      <c r="M16" s="57"/>
      <c r="N16" s="57"/>
      <c r="O16" s="57"/>
      <c r="P16" s="57"/>
      <c r="Q16" s="57"/>
      <c r="R16" s="57"/>
      <c r="S16" s="57"/>
      <c r="T16" s="57"/>
      <c r="U16" s="57"/>
      <c r="V16" s="57"/>
      <c r="W16" s="57"/>
      <c r="X16" s="57"/>
      <c r="Y16" s="57"/>
    </row>
    <row r="17" spans="3:25" x14ac:dyDescent="0.25">
      <c r="E17" s="301">
        <v>0</v>
      </c>
      <c r="F17" s="301">
        <v>1</v>
      </c>
      <c r="G17" s="301">
        <v>2</v>
      </c>
      <c r="H17" s="301">
        <v>3</v>
      </c>
      <c r="I17" s="301">
        <v>4</v>
      </c>
      <c r="J17" s="301">
        <v>5</v>
      </c>
      <c r="K17" s="301">
        <v>6</v>
      </c>
      <c r="L17" s="301">
        <v>7</v>
      </c>
      <c r="M17" s="301">
        <v>8</v>
      </c>
      <c r="N17" s="301">
        <v>9</v>
      </c>
      <c r="O17" s="301">
        <v>10</v>
      </c>
      <c r="P17" s="301">
        <v>20</v>
      </c>
      <c r="Q17" s="24"/>
      <c r="R17" s="24"/>
      <c r="S17" s="24"/>
      <c r="T17" s="24"/>
      <c r="U17" s="24"/>
      <c r="V17" s="24"/>
      <c r="W17" s="24"/>
      <c r="X17" s="24"/>
      <c r="Y17" s="24"/>
    </row>
    <row r="18" spans="3:25" x14ac:dyDescent="0.25">
      <c r="C18" s="370" t="s">
        <v>173</v>
      </c>
      <c r="D18" s="370"/>
      <c r="E18" s="211"/>
      <c r="F18" s="211"/>
      <c r="G18" s="211"/>
      <c r="H18" s="211"/>
      <c r="I18" s="211"/>
      <c r="J18" s="211"/>
      <c r="K18" s="211"/>
      <c r="L18" s="211"/>
      <c r="M18" s="211"/>
      <c r="N18" s="211"/>
      <c r="O18" s="211"/>
      <c r="P18" s="211"/>
    </row>
    <row r="19" spans="3:25" x14ac:dyDescent="0.25">
      <c r="C19" s="370" t="s">
        <v>172</v>
      </c>
      <c r="D19" s="370"/>
      <c r="E19" s="211"/>
      <c r="F19" s="211">
        <v>3004414.2786435811</v>
      </c>
      <c r="G19" s="211">
        <v>3329603.2167578023</v>
      </c>
      <c r="H19" s="211">
        <v>3847018.1088922517</v>
      </c>
      <c r="I19" s="211">
        <v>4606062.9802018236</v>
      </c>
      <c r="J19" s="211">
        <v>5684500.780623775</v>
      </c>
      <c r="K19" s="211">
        <v>7202033.8037040196</v>
      </c>
      <c r="L19" s="211">
        <v>9342660.1902553998</v>
      </c>
      <c r="M19" s="211">
        <v>12391644.829915058</v>
      </c>
      <c r="N19" s="211">
        <v>16797406.369437531</v>
      </c>
      <c r="O19" s="211">
        <v>23276756.120582454</v>
      </c>
      <c r="P19" s="211">
        <v>274986328.46216679</v>
      </c>
    </row>
    <row r="20" spans="3:25" x14ac:dyDescent="0.25">
      <c r="C20" s="370" t="s">
        <v>171</v>
      </c>
      <c r="D20" s="370"/>
      <c r="E20" s="211"/>
      <c r="F20" s="211">
        <v>1375593.8071625347</v>
      </c>
      <c r="G20" s="211">
        <v>1375593.8071625347</v>
      </c>
      <c r="H20" s="211">
        <v>1375593.8071625347</v>
      </c>
      <c r="I20" s="211">
        <v>1375593.8071625347</v>
      </c>
      <c r="J20" s="211">
        <v>1375593.8071625347</v>
      </c>
      <c r="K20" s="211">
        <v>1375593.8071625347</v>
      </c>
      <c r="L20" s="211">
        <v>1375593.8071625347</v>
      </c>
      <c r="M20" s="211">
        <v>1375593.8071625347</v>
      </c>
      <c r="N20" s="211">
        <v>1375593.8071625347</v>
      </c>
      <c r="O20" s="211">
        <v>1375593.8071625347</v>
      </c>
      <c r="P20" s="211">
        <v>1375593.8071625347</v>
      </c>
    </row>
    <row r="21" spans="3:25" x14ac:dyDescent="0.25">
      <c r="C21" s="370" t="s">
        <v>170</v>
      </c>
      <c r="D21" s="370"/>
      <c r="E21" s="211"/>
      <c r="F21" s="211"/>
      <c r="G21" s="211"/>
      <c r="H21" s="211"/>
      <c r="I21" s="211"/>
      <c r="J21" s="211"/>
      <c r="K21" s="211"/>
      <c r="L21" s="211"/>
      <c r="M21" s="211"/>
      <c r="N21" s="211"/>
      <c r="O21" s="211"/>
      <c r="P21" s="211"/>
    </row>
    <row r="22" spans="3:25" x14ac:dyDescent="0.25">
      <c r="C22" s="370" t="s">
        <v>169</v>
      </c>
      <c r="D22" s="370"/>
      <c r="E22" s="211">
        <v>38856824.973953441</v>
      </c>
      <c r="F22" s="211"/>
      <c r="G22" s="211"/>
      <c r="H22" s="211"/>
      <c r="I22" s="211"/>
      <c r="J22" s="211"/>
      <c r="K22" s="211"/>
      <c r="L22" s="211"/>
      <c r="M22" s="211"/>
      <c r="N22" s="211"/>
      <c r="O22" s="211"/>
      <c r="P22" s="211"/>
    </row>
    <row r="23" spans="3:25" x14ac:dyDescent="0.25">
      <c r="C23" s="370" t="s">
        <v>168</v>
      </c>
      <c r="D23" s="370"/>
      <c r="E23" s="211"/>
      <c r="F23" s="211"/>
      <c r="G23" s="211"/>
      <c r="H23" s="211"/>
      <c r="I23" s="211"/>
      <c r="J23" s="211"/>
      <c r="K23" s="211"/>
      <c r="L23" s="211"/>
      <c r="M23" s="211"/>
      <c r="N23" s="211"/>
      <c r="O23" s="211"/>
      <c r="P23" s="211">
        <v>3745644.2577</v>
      </c>
    </row>
    <row r="24" spans="3:25" x14ac:dyDescent="0.25">
      <c r="C24" s="370" t="s">
        <v>270</v>
      </c>
      <c r="D24" s="370"/>
      <c r="E24" s="211"/>
      <c r="F24" s="211"/>
      <c r="G24" s="211"/>
      <c r="H24" s="211"/>
      <c r="I24" s="211"/>
      <c r="J24" s="211"/>
      <c r="K24" s="211"/>
      <c r="L24" s="211"/>
      <c r="M24" s="211"/>
      <c r="N24" s="211"/>
      <c r="O24" s="211"/>
      <c r="P24" s="211">
        <v>2940315.592286502</v>
      </c>
    </row>
    <row r="25" spans="3:25" x14ac:dyDescent="0.25">
      <c r="C25" s="347" t="s">
        <v>185</v>
      </c>
      <c r="D25" s="347"/>
      <c r="E25" s="211">
        <v>-38856824.973953441</v>
      </c>
      <c r="F25" s="211">
        <v>4380008.0858061155</v>
      </c>
      <c r="G25" s="211">
        <v>4705197.0239203367</v>
      </c>
      <c r="H25" s="211">
        <v>5222611.9160547862</v>
      </c>
      <c r="I25" s="211">
        <v>5981656.7873643581</v>
      </c>
      <c r="J25" s="211">
        <v>7060094.5877863094</v>
      </c>
      <c r="K25" s="211">
        <v>8577627.6108665541</v>
      </c>
      <c r="L25" s="211">
        <v>10718253.997417934</v>
      </c>
      <c r="M25" s="211">
        <v>13767238.637077592</v>
      </c>
      <c r="N25" s="211">
        <v>18173000.176600065</v>
      </c>
      <c r="O25" s="211">
        <v>24652349.927744988</v>
      </c>
      <c r="P25" s="211">
        <v>283047882.11931586</v>
      </c>
    </row>
  </sheetData>
  <mergeCells count="18">
    <mergeCell ref="C22:D22"/>
    <mergeCell ref="C23:D23"/>
    <mergeCell ref="C24:D24"/>
    <mergeCell ref="C25:D25"/>
    <mergeCell ref="C18:D18"/>
    <mergeCell ref="C19:D19"/>
    <mergeCell ref="C20:D20"/>
    <mergeCell ref="C21:D21"/>
    <mergeCell ref="C12:D12"/>
    <mergeCell ref="C13:D13"/>
    <mergeCell ref="C14:D14"/>
    <mergeCell ref="B2:E3"/>
    <mergeCell ref="C6:D6"/>
    <mergeCell ref="C7:D7"/>
    <mergeCell ref="C8:D8"/>
    <mergeCell ref="C9:D9"/>
    <mergeCell ref="C10:D10"/>
    <mergeCell ref="C11:D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Ingresos</vt:lpstr>
      <vt:lpstr>C. variables y otros</vt:lpstr>
      <vt:lpstr>Cap. de Trab.</vt:lpstr>
      <vt:lpstr>Inv. y Dep.</vt:lpstr>
      <vt:lpstr>Financiación </vt:lpstr>
      <vt:lpstr>P y G</vt:lpstr>
      <vt:lpstr>WACC</vt:lpstr>
      <vt:lpstr>NUEVO WACC</vt:lpstr>
      <vt:lpstr>FCE</vt:lpstr>
      <vt:lpstr>FFF</vt:lpstr>
      <vt:lpstr>Indicadores</vt:lpstr>
      <vt:lpstr>Sensibilidad</vt:lpstr>
      <vt:lpstr>Balance del proyecto</vt:lpstr>
      <vt:lpstr>CRYSTAL BALL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Luis</cp:lastModifiedBy>
  <dcterms:created xsi:type="dcterms:W3CDTF">2016-02-01T14:51:29Z</dcterms:created>
  <dcterms:modified xsi:type="dcterms:W3CDTF">2018-10-11T15:54:09Z</dcterms:modified>
</cp:coreProperties>
</file>