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Segunda presentación\Enlatados\"/>
    </mc:Choice>
  </mc:AlternateContent>
  <bookViews>
    <workbookView xWindow="0" yWindow="0" windowWidth="24000" windowHeight="9135" activeTab="1"/>
  </bookViews>
  <sheets>
    <sheet name="Hoja1" sheetId="1" r:id="rId1"/>
    <sheet name="Flujo de caja" sheetId="3" r:id="rId2"/>
    <sheet name="Hoja2" sheetId="2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7" i="3" l="1"/>
  <c r="I95" i="3" l="1"/>
  <c r="N84" i="3"/>
  <c r="O84" i="3"/>
  <c r="D62" i="3" l="1"/>
  <c r="N83" i="3"/>
  <c r="M86" i="3"/>
  <c r="F83" i="3" l="1"/>
  <c r="D28" i="3"/>
  <c r="D4" i="3"/>
  <c r="E4" i="3" s="1"/>
  <c r="O15" i="3"/>
  <c r="D6" i="3"/>
  <c r="D74" i="3" s="1"/>
  <c r="C74" i="3"/>
  <c r="D93" i="3"/>
  <c r="O83" i="3" l="1"/>
  <c r="E82" i="3"/>
  <c r="E81" i="3"/>
  <c r="H94" i="3" l="1"/>
  <c r="I94" i="3"/>
  <c r="E94" i="3"/>
  <c r="F94" i="3"/>
  <c r="G94" i="3"/>
  <c r="E85" i="3"/>
  <c r="F85" i="3" s="1"/>
  <c r="G85" i="3" s="1"/>
  <c r="H85" i="3" s="1"/>
  <c r="I85" i="3" s="1"/>
  <c r="P43" i="1"/>
  <c r="N43" i="1"/>
  <c r="G83" i="3"/>
  <c r="D72" i="3"/>
  <c r="L10" i="1"/>
  <c r="M10" i="1"/>
  <c r="N10" i="1"/>
  <c r="K10" i="1"/>
  <c r="J9" i="1"/>
  <c r="J10" i="1"/>
  <c r="L8" i="1"/>
  <c r="K8" i="1"/>
  <c r="J8" i="1"/>
  <c r="F4" i="3"/>
  <c r="G4" i="3" s="1"/>
  <c r="N8" i="3"/>
  <c r="E86" i="3" l="1"/>
  <c r="E87" i="3" s="1"/>
  <c r="E72" i="3"/>
  <c r="D57" i="3"/>
  <c r="D54" i="3"/>
  <c r="D51" i="3"/>
  <c r="D48" i="3"/>
  <c r="D45" i="3"/>
  <c r="D40" i="3"/>
  <c r="D37" i="3"/>
  <c r="D34" i="3"/>
  <c r="D31" i="3"/>
  <c r="D23" i="3"/>
  <c r="D20" i="3"/>
  <c r="D17" i="3"/>
  <c r="D14" i="3"/>
  <c r="D11" i="3"/>
  <c r="C5" i="3"/>
  <c r="C73" i="3" s="1"/>
  <c r="H83" i="3"/>
  <c r="I83" i="3" s="1"/>
  <c r="C57" i="3"/>
  <c r="C54" i="3"/>
  <c r="C51" i="3"/>
  <c r="C48" i="3"/>
  <c r="C45" i="3"/>
  <c r="C40" i="3"/>
  <c r="C37" i="3"/>
  <c r="C34" i="3"/>
  <c r="C31" i="3"/>
  <c r="C28" i="3"/>
  <c r="C23" i="3"/>
  <c r="C20" i="3"/>
  <c r="C17" i="3"/>
  <c r="C14" i="3"/>
  <c r="C11" i="3"/>
  <c r="F72" i="3" l="1"/>
  <c r="E28" i="3"/>
  <c r="E45" i="3" s="1"/>
  <c r="G45" i="3" s="1"/>
  <c r="D5" i="3"/>
  <c r="E14" i="3" s="1"/>
  <c r="G17" i="3" s="1"/>
  <c r="D67" i="3"/>
  <c r="E11" i="3"/>
  <c r="G11" i="3"/>
  <c r="D68" i="3"/>
  <c r="F82" i="3"/>
  <c r="J42" i="1"/>
  <c r="C45" i="1"/>
  <c r="G45" i="1"/>
  <c r="G48" i="1"/>
  <c r="K6" i="1"/>
  <c r="E42" i="1"/>
  <c r="E67" i="3" l="1"/>
  <c r="E88" i="3"/>
  <c r="E5" i="3"/>
  <c r="D73" i="3"/>
  <c r="F81" i="3" s="1"/>
  <c r="F86" i="3" s="1"/>
  <c r="G72" i="3"/>
  <c r="E31" i="3"/>
  <c r="E6" i="3"/>
  <c r="E74" i="3" s="1"/>
  <c r="G82" i="3" s="1"/>
  <c r="G14" i="3"/>
  <c r="I14" i="3" s="1"/>
  <c r="J14" i="3" s="1"/>
  <c r="E62" i="3" s="1"/>
  <c r="J11" i="3"/>
  <c r="G48" i="3"/>
  <c r="J45" i="3"/>
  <c r="F67" i="3"/>
  <c r="G28" i="3"/>
  <c r="E68" i="3"/>
  <c r="O10" i="1"/>
  <c r="K9" i="1"/>
  <c r="L9" i="1" s="1"/>
  <c r="J7" i="1"/>
  <c r="Q93" i="1"/>
  <c r="R93" i="1"/>
  <c r="S93" i="1" s="1"/>
  <c r="P93" i="1"/>
  <c r="O93" i="1"/>
  <c r="O91" i="1"/>
  <c r="N44" i="1"/>
  <c r="C85" i="1"/>
  <c r="C82" i="1"/>
  <c r="C79" i="1"/>
  <c r="C76" i="1"/>
  <c r="C73" i="1"/>
  <c r="E92" i="3" l="1"/>
  <c r="F87" i="3"/>
  <c r="F88" i="3" s="1"/>
  <c r="F92" i="3" s="1"/>
  <c r="F5" i="3"/>
  <c r="G67" i="3" s="1"/>
  <c r="E73" i="3"/>
  <c r="G81" i="3" s="1"/>
  <c r="G86" i="3" s="1"/>
  <c r="E17" i="3"/>
  <c r="G20" i="3" s="1"/>
  <c r="D64" i="3"/>
  <c r="G31" i="3"/>
  <c r="I31" i="3" s="1"/>
  <c r="J31" i="3" s="1"/>
  <c r="E63" i="3" s="1"/>
  <c r="J28" i="3"/>
  <c r="E34" i="3"/>
  <c r="F6" i="3"/>
  <c r="F74" i="3" s="1"/>
  <c r="H82" i="3" s="1"/>
  <c r="F68" i="3"/>
  <c r="E48" i="3"/>
  <c r="G34" i="3"/>
  <c r="M9" i="1"/>
  <c r="N9" i="1" s="1"/>
  <c r="O9" i="1" s="1"/>
  <c r="O92" i="1"/>
  <c r="E39" i="1"/>
  <c r="C68" i="1"/>
  <c r="C65" i="1"/>
  <c r="C62" i="1"/>
  <c r="C59" i="1"/>
  <c r="C56" i="1"/>
  <c r="C51" i="1"/>
  <c r="C48" i="1"/>
  <c r="C42" i="1"/>
  <c r="C39" i="1"/>
  <c r="G87" i="3" l="1"/>
  <c r="G88" i="3" s="1"/>
  <c r="G92" i="3" s="1"/>
  <c r="J17" i="3"/>
  <c r="D63" i="3"/>
  <c r="D66" i="3" s="1"/>
  <c r="G5" i="3"/>
  <c r="G73" i="3" s="1"/>
  <c r="I81" i="3" s="1"/>
  <c r="F73" i="3"/>
  <c r="H81" i="3" s="1"/>
  <c r="H86" i="3" s="1"/>
  <c r="E20" i="3"/>
  <c r="I20" i="3" s="1"/>
  <c r="J20" i="3" s="1"/>
  <c r="G62" i="3" s="1"/>
  <c r="I48" i="3"/>
  <c r="J48" i="3" s="1"/>
  <c r="G51" i="3"/>
  <c r="E37" i="3"/>
  <c r="G68" i="3"/>
  <c r="G6" i="3"/>
  <c r="G74" i="3" s="1"/>
  <c r="I82" i="3" s="1"/>
  <c r="G23" i="3"/>
  <c r="E51" i="3"/>
  <c r="I34" i="3"/>
  <c r="J34" i="3" s="1"/>
  <c r="F63" i="3" s="1"/>
  <c r="G37" i="3"/>
  <c r="E56" i="1"/>
  <c r="E73" i="1" s="1"/>
  <c r="G73" i="1" s="1"/>
  <c r="N45" i="1"/>
  <c r="K7" i="1"/>
  <c r="E23" i="3" l="1"/>
  <c r="H67" i="3"/>
  <c r="D96" i="3"/>
  <c r="D98" i="3" s="1"/>
  <c r="I86" i="3"/>
  <c r="I87" i="3" s="1"/>
  <c r="I88" i="3" s="1"/>
  <c r="I92" i="3" s="1"/>
  <c r="H87" i="3"/>
  <c r="H88" i="3" s="1"/>
  <c r="H92" i="3" s="1"/>
  <c r="F62" i="3"/>
  <c r="E64" i="3"/>
  <c r="E66" i="3" s="1"/>
  <c r="E96" i="3" s="1"/>
  <c r="E98" i="3" s="1"/>
  <c r="G40" i="3"/>
  <c r="I37" i="3"/>
  <c r="J37" i="3" s="1"/>
  <c r="G63" i="3" s="1"/>
  <c r="E54" i="3"/>
  <c r="I51" i="3"/>
  <c r="J51" i="3" s="1"/>
  <c r="F64" i="3" s="1"/>
  <c r="G54" i="3"/>
  <c r="I23" i="3"/>
  <c r="J23" i="3" s="1"/>
  <c r="H62" i="3" s="1"/>
  <c r="H68" i="3"/>
  <c r="E40" i="3"/>
  <c r="O45" i="1"/>
  <c r="E59" i="1"/>
  <c r="J73" i="1"/>
  <c r="N41" i="1" s="1"/>
  <c r="G76" i="1"/>
  <c r="G56" i="1"/>
  <c r="J56" i="1" s="1"/>
  <c r="N40" i="1" s="1"/>
  <c r="L7" i="1"/>
  <c r="G39" i="1"/>
  <c r="J39" i="1" s="1"/>
  <c r="N39" i="1" s="1"/>
  <c r="L23" i="3" l="1"/>
  <c r="F66" i="3"/>
  <c r="F96" i="3" s="1"/>
  <c r="F98" i="3" s="1"/>
  <c r="E57" i="3"/>
  <c r="I40" i="3"/>
  <c r="J40" i="3" s="1"/>
  <c r="H63" i="3" s="1"/>
  <c r="G57" i="3"/>
  <c r="I54" i="3"/>
  <c r="J54" i="3" s="1"/>
  <c r="G64" i="3" s="1"/>
  <c r="G66" i="3" s="1"/>
  <c r="G96" i="3" s="1"/>
  <c r="G98" i="3" s="1"/>
  <c r="G59" i="1"/>
  <c r="I59" i="1" s="1"/>
  <c r="J59" i="1" s="1"/>
  <c r="O40" i="1" s="1"/>
  <c r="E76" i="1"/>
  <c r="G79" i="1" s="1"/>
  <c r="G62" i="1"/>
  <c r="P91" i="1"/>
  <c r="O44" i="1"/>
  <c r="E62" i="1"/>
  <c r="P45" i="1"/>
  <c r="M7" i="1"/>
  <c r="N100" i="1"/>
  <c r="N102" i="1" s="1"/>
  <c r="I76" i="1"/>
  <c r="J76" i="1" s="1"/>
  <c r="O41" i="1" s="1"/>
  <c r="G42" i="1"/>
  <c r="L6" i="1"/>
  <c r="M6" i="1"/>
  <c r="R32" i="1"/>
  <c r="E28" i="1"/>
  <c r="F28" i="1" s="1"/>
  <c r="E22" i="1"/>
  <c r="E21" i="1"/>
  <c r="E15" i="1"/>
  <c r="E14" i="1"/>
  <c r="L40" i="3" l="1"/>
  <c r="I57" i="3"/>
  <c r="J57" i="3" s="1"/>
  <c r="N7" i="1"/>
  <c r="Q45" i="1"/>
  <c r="E65" i="1"/>
  <c r="E48" i="1"/>
  <c r="M8" i="1"/>
  <c r="R91" i="1" s="1"/>
  <c r="Q44" i="1"/>
  <c r="Q91" i="1"/>
  <c r="P44" i="1"/>
  <c r="G65" i="1"/>
  <c r="E79" i="1"/>
  <c r="I42" i="1"/>
  <c r="O39" i="1" s="1"/>
  <c r="O43" i="1" s="1"/>
  <c r="O100" i="1" s="1"/>
  <c r="I62" i="1"/>
  <c r="J62" i="1" s="1"/>
  <c r="P40" i="1" s="1"/>
  <c r="E45" i="1"/>
  <c r="N6" i="1"/>
  <c r="D31" i="1"/>
  <c r="G14" i="1"/>
  <c r="E17" i="1" s="1"/>
  <c r="R29" i="1" s="1"/>
  <c r="G21" i="1"/>
  <c r="E24" i="1" s="1"/>
  <c r="R30" i="1" s="1"/>
  <c r="H64" i="3" l="1"/>
  <c r="H66" i="3" s="1"/>
  <c r="H96" i="3" s="1"/>
  <c r="H98" i="3" s="1"/>
  <c r="L57" i="3"/>
  <c r="G68" i="1"/>
  <c r="I65" i="1"/>
  <c r="J65" i="1" s="1"/>
  <c r="Q40" i="1" s="1"/>
  <c r="E82" i="1"/>
  <c r="G82" i="1"/>
  <c r="I79" i="1"/>
  <c r="J79" i="1" s="1"/>
  <c r="P41" i="1" s="1"/>
  <c r="E51" i="1"/>
  <c r="N8" i="1"/>
  <c r="S91" i="1" s="1"/>
  <c r="R44" i="1"/>
  <c r="E68" i="1"/>
  <c r="R45" i="1"/>
  <c r="I45" i="1"/>
  <c r="J45" i="1" s="1"/>
  <c r="P39" i="1" s="1"/>
  <c r="G51" i="1"/>
  <c r="I48" i="1"/>
  <c r="J48" i="1" s="1"/>
  <c r="Q39" i="1" s="1"/>
  <c r="R33" i="1"/>
  <c r="S99" i="1" s="1"/>
  <c r="Q30" i="1"/>
  <c r="P30" i="1"/>
  <c r="N30" i="1"/>
  <c r="O30" i="1"/>
  <c r="M30" i="1"/>
  <c r="N29" i="1"/>
  <c r="O29" i="1"/>
  <c r="M29" i="1"/>
  <c r="P29" i="1"/>
  <c r="Q29" i="1"/>
  <c r="F31" i="1"/>
  <c r="M31" i="1" s="1"/>
  <c r="E31" i="1"/>
  <c r="I66" i="3" l="1"/>
  <c r="I51" i="1"/>
  <c r="J51" i="1" s="1"/>
  <c r="R39" i="1" s="1"/>
  <c r="P100" i="1"/>
  <c r="I82" i="1"/>
  <c r="J82" i="1" s="1"/>
  <c r="Q41" i="1" s="1"/>
  <c r="Q43" i="1" s="1"/>
  <c r="Q100" i="1" s="1"/>
  <c r="G85" i="1"/>
  <c r="I68" i="1"/>
  <c r="J68" i="1" s="1"/>
  <c r="R40" i="1" s="1"/>
  <c r="E85" i="1"/>
  <c r="M33" i="1"/>
  <c r="O95" i="1" s="1"/>
  <c r="O96" i="1" s="1"/>
  <c r="D32" i="1"/>
  <c r="F32" i="1" s="1"/>
  <c r="N31" i="1" s="1"/>
  <c r="N33" i="1" s="1"/>
  <c r="P95" i="1" s="1"/>
  <c r="P96" i="1" s="1"/>
  <c r="I97" i="3" l="1"/>
  <c r="I98" i="3" s="1"/>
  <c r="O97" i="1"/>
  <c r="O98" i="1" s="1"/>
  <c r="O102" i="1" s="1"/>
  <c r="P97" i="1"/>
  <c r="P98" i="1" s="1"/>
  <c r="P102" i="1" s="1"/>
  <c r="I85" i="1"/>
  <c r="J85" i="1" s="1"/>
  <c r="R41" i="1" s="1"/>
  <c r="R43" i="1" s="1"/>
  <c r="R100" i="1" s="1"/>
  <c r="E32" i="1"/>
  <c r="D33" i="1" l="1"/>
  <c r="F33" i="1" s="1"/>
  <c r="O31" i="1" s="1"/>
  <c r="O33" i="1" s="1"/>
  <c r="Q95" i="1" s="1"/>
  <c r="Q96" i="1" s="1"/>
  <c r="Q97" i="1" l="1"/>
  <c r="Q98" i="1"/>
  <c r="Q102" i="1" s="1"/>
  <c r="E33" i="1"/>
  <c r="F34" i="1" l="1"/>
  <c r="D34" i="1"/>
  <c r="E34" i="1" s="1"/>
  <c r="D35" i="1" s="1"/>
  <c r="P31" i="1" l="1"/>
  <c r="P33" i="1" s="1"/>
  <c r="R95" i="1" s="1"/>
  <c r="R96" i="1" s="1"/>
  <c r="F35" i="1"/>
  <c r="Q31" i="1" s="1"/>
  <c r="Q33" i="1" s="1"/>
  <c r="S95" i="1" s="1"/>
  <c r="S96" i="1" s="1"/>
  <c r="S97" i="1" l="1"/>
  <c r="S98" i="1"/>
  <c r="S102" i="1" s="1"/>
  <c r="R97" i="1"/>
  <c r="R98" i="1"/>
  <c r="R102" i="1" s="1"/>
</calcChain>
</file>

<file path=xl/sharedStrings.xml><?xml version="1.0" encoding="utf-8"?>
<sst xmlns="http://schemas.openxmlformats.org/spreadsheetml/2006/main" count="232" uniqueCount="103">
  <si>
    <t>Desembolso inicial</t>
  </si>
  <si>
    <t>-</t>
  </si>
  <si>
    <t>Solar</t>
  </si>
  <si>
    <t>Nave</t>
  </si>
  <si>
    <t>Maquinaria</t>
  </si>
  <si>
    <t>Material transporte</t>
  </si>
  <si>
    <t>Desembolso año 1</t>
  </si>
  <si>
    <t>Tipo</t>
  </si>
  <si>
    <t>Duración</t>
  </si>
  <si>
    <t>Amortización</t>
  </si>
  <si>
    <t>degresiva (coef. doble)</t>
  </si>
  <si>
    <t>AMORTIZACIONES Y VALORES RESIDUALES</t>
  </si>
  <si>
    <t xml:space="preserve">1.1 Nave: Amortización lineal durante  </t>
  </si>
  <si>
    <t>Cuota de amortización</t>
  </si>
  <si>
    <t>lineal</t>
  </si>
  <si>
    <t xml:space="preserve">lineal </t>
  </si>
  <si>
    <t>=</t>
  </si>
  <si>
    <t>Valor residual</t>
  </si>
  <si>
    <t>=16-0.8*5</t>
  </si>
  <si>
    <t>Duración del proyecto</t>
  </si>
  <si>
    <t xml:space="preserve">1.2 Maquinaria : Amortización lineal durante  </t>
  </si>
  <si>
    <t>Coeficiente</t>
  </si>
  <si>
    <t>α =</t>
  </si>
  <si>
    <t>Año</t>
  </si>
  <si>
    <t>Cuota Anual</t>
  </si>
  <si>
    <t>Capital pendiente</t>
  </si>
  <si>
    <t>Cuota anual corregida</t>
  </si>
  <si>
    <t xml:space="preserve"> V R</t>
  </si>
  <si>
    <t xml:space="preserve">1.3 Maquinaria : Amortización lineal durante  </t>
  </si>
  <si>
    <t>Necesidades de fondo de rotación</t>
  </si>
  <si>
    <t>1 año :</t>
  </si>
  <si>
    <t>2 año :</t>
  </si>
  <si>
    <t>Demanda</t>
  </si>
  <si>
    <t>3 año :</t>
  </si>
  <si>
    <t>Incremento precio</t>
  </si>
  <si>
    <t>Precio V</t>
  </si>
  <si>
    <t>4 año :</t>
  </si>
  <si>
    <t>5 año :</t>
  </si>
  <si>
    <t>Costo P</t>
  </si>
  <si>
    <t>soles</t>
  </si>
  <si>
    <t>soles / kg</t>
  </si>
  <si>
    <t xml:space="preserve"> </t>
  </si>
  <si>
    <t>(1)</t>
  </si>
  <si>
    <t>Crédito a clientes</t>
  </si>
  <si>
    <t>(2)</t>
  </si>
  <si>
    <t>(3)</t>
  </si>
  <si>
    <t>(4)</t>
  </si>
  <si>
    <t xml:space="preserve">STOCK DE PRODUCCIÓN </t>
  </si>
  <si>
    <t>Crédito a proveedores</t>
  </si>
  <si>
    <t xml:space="preserve">Stock de producción  </t>
  </si>
  <si>
    <t>Necesidades F.R</t>
  </si>
  <si>
    <t>CRÉDITO A CLIENTES</t>
  </si>
  <si>
    <t>CRÉDITO DE PROVEEDORES</t>
  </si>
  <si>
    <t>Precio de venta unitario</t>
  </si>
  <si>
    <t>Precio de coste unitario</t>
  </si>
  <si>
    <t>AÑOS</t>
  </si>
  <si>
    <t>Desembolsos</t>
  </si>
  <si>
    <t>Ventas</t>
  </si>
  <si>
    <t>Materia prima</t>
  </si>
  <si>
    <t>Mano de obra directa</t>
  </si>
  <si>
    <t>Gastos de publicidad</t>
  </si>
  <si>
    <t>MOD</t>
  </si>
  <si>
    <t>Benef. Antes Imp.</t>
  </si>
  <si>
    <t>Impuestos</t>
  </si>
  <si>
    <t>impuestos</t>
  </si>
  <si>
    <t>Benef. despues Imp.</t>
  </si>
  <si>
    <t>Nec. Fondos rot</t>
  </si>
  <si>
    <t>Recuperación F.R</t>
  </si>
  <si>
    <t>Rendimientos netos</t>
  </si>
  <si>
    <t>(5)</t>
  </si>
  <si>
    <t>(6)</t>
  </si>
  <si>
    <t>(7)</t>
  </si>
  <si>
    <t>(8)</t>
  </si>
  <si>
    <t>(9)</t>
  </si>
  <si>
    <t>(10)</t>
  </si>
  <si>
    <t>(11)</t>
  </si>
  <si>
    <t>(12)</t>
  </si>
  <si>
    <t>costo lata</t>
  </si>
  <si>
    <t>por lata</t>
  </si>
  <si>
    <t>Costo mat prima</t>
  </si>
  <si>
    <t>Materia Prima</t>
  </si>
  <si>
    <t xml:space="preserve">Precio venta </t>
  </si>
  <si>
    <t>Dias</t>
  </si>
  <si>
    <t>dias</t>
  </si>
  <si>
    <t>credito clientes</t>
  </si>
  <si>
    <t>Stock prod</t>
  </si>
  <si>
    <t>V. R 1</t>
  </si>
  <si>
    <t>V. R 2</t>
  </si>
  <si>
    <t>V. R 3</t>
  </si>
  <si>
    <t>V.R total</t>
  </si>
  <si>
    <t>Utilidad Neta</t>
  </si>
  <si>
    <t xml:space="preserve">Depreciación </t>
  </si>
  <si>
    <t xml:space="preserve">Inversión </t>
  </si>
  <si>
    <t xml:space="preserve">Gastos de Administración y ventas </t>
  </si>
  <si>
    <t>Inversión</t>
  </si>
  <si>
    <t xml:space="preserve">Equipos </t>
  </si>
  <si>
    <t>V.R</t>
  </si>
  <si>
    <t>Activos intangibles</t>
  </si>
  <si>
    <t>Terreno</t>
  </si>
  <si>
    <t>$</t>
  </si>
  <si>
    <t>$ / kg</t>
  </si>
  <si>
    <t>*Antes demanda a 30030</t>
  </si>
  <si>
    <t>Flujo de caja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</si>
</sst>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8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9" fontId="0" fillId="0" borderId="0" xfId="0" applyNumberFormat="1"/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3" xfId="0" applyBorder="1"/>
    <xf numFmtId="0" fontId="0" fillId="0" borderId="0" xfId="0" applyBorder="1"/>
    <xf numFmtId="0" fontId="0" fillId="0" borderId="0" xfId="0" applyBorder="1" applyAlignment="1">
      <alignment horizontal="center"/>
    </xf>
    <xf numFmtId="9" fontId="0" fillId="0" borderId="0" xfId="1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0" fillId="0" borderId="0" xfId="0" applyBorder="1" applyAlignment="1">
      <alignment wrapText="1"/>
    </xf>
    <xf numFmtId="0" fontId="2" fillId="0" borderId="0" xfId="0" applyFon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2" fontId="0" fillId="0" borderId="0" xfId="0" applyNumberFormat="1" applyBorder="1" applyAlignment="1">
      <alignment horizontal="center"/>
    </xf>
    <xf numFmtId="2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9" fontId="0" fillId="0" borderId="0" xfId="1" applyFont="1" applyAlignment="1">
      <alignment horizontal="center"/>
    </xf>
    <xf numFmtId="0" fontId="0" fillId="0" borderId="0" xfId="0" applyFill="1" applyBorder="1" applyAlignment="1">
      <alignment horizontal="center"/>
    </xf>
    <xf numFmtId="0" fontId="2" fillId="0" borderId="0" xfId="0" applyFont="1"/>
    <xf numFmtId="0" fontId="0" fillId="0" borderId="1" xfId="0" applyBorder="1"/>
    <xf numFmtId="164" fontId="0" fillId="0" borderId="0" xfId="0" applyNumberFormat="1"/>
    <xf numFmtId="2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0" fillId="0" borderId="0" xfId="0" applyFill="1" applyBorder="1"/>
    <xf numFmtId="9" fontId="0" fillId="0" borderId="0" xfId="1" applyFont="1"/>
    <xf numFmtId="0" fontId="0" fillId="0" borderId="1" xfId="0" applyFill="1" applyBorder="1"/>
    <xf numFmtId="49" fontId="0" fillId="0" borderId="0" xfId="0" applyNumberFormat="1" applyAlignment="1">
      <alignment horizontal="right"/>
    </xf>
    <xf numFmtId="3" fontId="0" fillId="0" borderId="0" xfId="0" applyNumberFormat="1" applyAlignment="1">
      <alignment horizontal="center"/>
    </xf>
    <xf numFmtId="3" fontId="0" fillId="0" borderId="0" xfId="0" applyNumberFormat="1"/>
    <xf numFmtId="3" fontId="2" fillId="0" borderId="0" xfId="0" applyNumberFormat="1" applyFont="1" applyAlignment="1">
      <alignment horizontal="center"/>
    </xf>
    <xf numFmtId="3" fontId="0" fillId="0" borderId="0" xfId="0" applyNumberFormat="1" applyAlignment="1">
      <alignment horizontal="center" vertical="center"/>
    </xf>
    <xf numFmtId="3" fontId="0" fillId="0" borderId="0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2" fontId="0" fillId="0" borderId="0" xfId="0" applyNumberFormat="1" applyFill="1" applyBorder="1" applyAlignment="1">
      <alignment horizontal="center"/>
    </xf>
    <xf numFmtId="3" fontId="2" fillId="0" borderId="0" xfId="0" applyNumberFormat="1" applyFont="1" applyAlignment="1">
      <alignment horizontal="center" vertical="center"/>
    </xf>
    <xf numFmtId="3" fontId="2" fillId="0" borderId="0" xfId="0" applyNumberFormat="1" applyFont="1"/>
    <xf numFmtId="0" fontId="2" fillId="0" borderId="3" xfId="0" applyFont="1" applyBorder="1"/>
    <xf numFmtId="3" fontId="2" fillId="0" borderId="3" xfId="0" applyNumberFormat="1" applyFont="1" applyBorder="1"/>
    <xf numFmtId="165" fontId="0" fillId="0" borderId="0" xfId="0" applyNumberFormat="1" applyAlignment="1">
      <alignment horizontal="center" vertical="center"/>
    </xf>
    <xf numFmtId="9" fontId="0" fillId="0" borderId="0" xfId="0" applyNumberFormat="1"/>
    <xf numFmtId="0" fontId="0" fillId="0" borderId="4" xfId="0" applyBorder="1"/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left"/>
    </xf>
    <xf numFmtId="0" fontId="0" fillId="0" borderId="2" xfId="0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S102"/>
  <sheetViews>
    <sheetView topLeftCell="A19" zoomScale="80" zoomScaleNormal="80" workbookViewId="0">
      <selection activeCell="P45" sqref="P45"/>
    </sheetView>
  </sheetViews>
  <sheetFormatPr baseColWidth="10" defaultRowHeight="15" x14ac:dyDescent="0.25"/>
  <cols>
    <col min="2" max="2" width="13.7109375" customWidth="1"/>
    <col min="3" max="3" width="13" customWidth="1"/>
    <col min="4" max="4" width="12.28515625" customWidth="1"/>
    <col min="6" max="6" width="12.42578125" customWidth="1"/>
    <col min="7" max="7" width="10.42578125" customWidth="1"/>
    <col min="8" max="8" width="5.140625" customWidth="1"/>
    <col min="9" max="9" width="13" customWidth="1"/>
    <col min="10" max="10" width="13.85546875" customWidth="1"/>
    <col min="15" max="15" width="11.85546875" bestFit="1" customWidth="1"/>
  </cols>
  <sheetData>
    <row r="3" spans="1:19" s="1" customFormat="1" ht="30.75" customHeight="1" x14ac:dyDescent="0.25">
      <c r="B3" s="5"/>
      <c r="C3" s="61" t="s">
        <v>0</v>
      </c>
      <c r="D3" s="61" t="s">
        <v>6</v>
      </c>
      <c r="E3" s="61" t="s">
        <v>9</v>
      </c>
      <c r="F3" s="61"/>
      <c r="I3" s="12" t="s">
        <v>19</v>
      </c>
      <c r="J3" s="13">
        <v>5</v>
      </c>
    </row>
    <row r="4" spans="1:19" x14ac:dyDescent="0.25">
      <c r="B4" s="6"/>
      <c r="C4" s="62"/>
      <c r="D4" s="62"/>
      <c r="E4" s="7" t="s">
        <v>7</v>
      </c>
      <c r="F4" s="7" t="s">
        <v>8</v>
      </c>
      <c r="J4" s="2">
        <v>0</v>
      </c>
      <c r="K4" s="2">
        <v>1</v>
      </c>
      <c r="L4" s="2">
        <v>2</v>
      </c>
      <c r="M4" s="2">
        <v>3</v>
      </c>
      <c r="N4" s="2">
        <v>4</v>
      </c>
      <c r="Q4" t="s">
        <v>34</v>
      </c>
      <c r="R4" s="32">
        <v>0.1</v>
      </c>
    </row>
    <row r="5" spans="1:19" x14ac:dyDescent="0.25">
      <c r="B5" s="8" t="s">
        <v>2</v>
      </c>
      <c r="C5" s="9">
        <v>8</v>
      </c>
      <c r="D5" s="9" t="s">
        <v>1</v>
      </c>
      <c r="E5" s="9" t="s">
        <v>1</v>
      </c>
      <c r="F5" s="9" t="s">
        <v>1</v>
      </c>
      <c r="I5" s="9" t="s">
        <v>32</v>
      </c>
      <c r="J5" s="2">
        <v>60000</v>
      </c>
      <c r="K5" s="2">
        <v>120000</v>
      </c>
      <c r="L5" s="2">
        <v>120000</v>
      </c>
      <c r="M5" s="2">
        <v>120000</v>
      </c>
      <c r="N5" s="2">
        <v>120000</v>
      </c>
      <c r="Q5" t="s">
        <v>77</v>
      </c>
      <c r="R5" s="33">
        <v>100</v>
      </c>
    </row>
    <row r="6" spans="1:19" x14ac:dyDescent="0.25">
      <c r="B6" s="8" t="s">
        <v>3</v>
      </c>
      <c r="C6" s="9">
        <v>10</v>
      </c>
      <c r="D6" s="9">
        <v>6</v>
      </c>
      <c r="E6" s="9" t="s">
        <v>14</v>
      </c>
      <c r="F6" s="9">
        <v>20</v>
      </c>
      <c r="I6" s="2" t="s">
        <v>35</v>
      </c>
      <c r="J6" s="33">
        <v>200</v>
      </c>
      <c r="K6" s="2">
        <f>J6*(1+$R$4)</f>
        <v>220.00000000000003</v>
      </c>
      <c r="L6" s="2">
        <f t="shared" ref="K6:N7" si="0">K6*(1+$R$4)</f>
        <v>242.00000000000006</v>
      </c>
      <c r="M6" s="2">
        <f t="shared" si="0"/>
        <v>266.2000000000001</v>
      </c>
      <c r="N6" s="2">
        <f t="shared" si="0"/>
        <v>292.82000000000016</v>
      </c>
      <c r="O6" t="s">
        <v>39</v>
      </c>
      <c r="Q6" t="s">
        <v>61</v>
      </c>
      <c r="R6">
        <v>5000000</v>
      </c>
    </row>
    <row r="7" spans="1:19" x14ac:dyDescent="0.25">
      <c r="B7" s="8" t="s">
        <v>4</v>
      </c>
      <c r="C7" s="9">
        <v>2</v>
      </c>
      <c r="D7" s="9">
        <v>8</v>
      </c>
      <c r="E7" s="9" t="s">
        <v>15</v>
      </c>
      <c r="F7" s="9">
        <v>10</v>
      </c>
      <c r="I7" s="2" t="s">
        <v>38</v>
      </c>
      <c r="J7" s="2">
        <f>R5*(1+$R$4)</f>
        <v>110.00000000000001</v>
      </c>
      <c r="K7" s="2">
        <f t="shared" si="0"/>
        <v>121.00000000000003</v>
      </c>
      <c r="L7" s="2">
        <f t="shared" si="0"/>
        <v>133.10000000000005</v>
      </c>
      <c r="M7" s="2">
        <f t="shared" si="0"/>
        <v>146.41000000000008</v>
      </c>
      <c r="N7" s="2">
        <f t="shared" si="0"/>
        <v>161.0510000000001</v>
      </c>
      <c r="O7" t="s">
        <v>40</v>
      </c>
      <c r="Q7" t="s">
        <v>64</v>
      </c>
      <c r="R7" s="42">
        <v>0.3</v>
      </c>
    </row>
    <row r="8" spans="1:19" ht="28.5" customHeight="1" x14ac:dyDescent="0.25">
      <c r="B8" s="10" t="s">
        <v>5</v>
      </c>
      <c r="C8" s="9" t="s">
        <v>1</v>
      </c>
      <c r="D8" s="9">
        <v>6</v>
      </c>
      <c r="E8" s="11" t="s">
        <v>10</v>
      </c>
      <c r="F8" s="9">
        <v>5</v>
      </c>
      <c r="I8" t="s">
        <v>57</v>
      </c>
      <c r="J8">
        <f>J6*J5</f>
        <v>12000000</v>
      </c>
      <c r="K8">
        <f>K6*K5</f>
        <v>26400000.000000004</v>
      </c>
      <c r="L8">
        <f>L6*L5</f>
        <v>29040000.000000007</v>
      </c>
      <c r="M8">
        <f t="shared" ref="M8:N8" si="1">M6*M5</f>
        <v>31944000.000000011</v>
      </c>
      <c r="N8">
        <f t="shared" si="1"/>
        <v>35138400.000000022</v>
      </c>
      <c r="Q8" t="s">
        <v>58</v>
      </c>
      <c r="R8">
        <v>10</v>
      </c>
      <c r="S8" t="s">
        <v>78</v>
      </c>
    </row>
    <row r="9" spans="1:19" x14ac:dyDescent="0.25">
      <c r="I9" t="s">
        <v>80</v>
      </c>
      <c r="J9">
        <f>J7</f>
        <v>110.00000000000001</v>
      </c>
      <c r="K9">
        <f>J9*(1+$R$4)</f>
        <v>121.00000000000003</v>
      </c>
      <c r="L9">
        <f t="shared" ref="L9:O9" si="2">K9*(1+$R$4)</f>
        <v>133.10000000000005</v>
      </c>
      <c r="M9">
        <f t="shared" si="2"/>
        <v>146.41000000000008</v>
      </c>
      <c r="N9">
        <f t="shared" si="2"/>
        <v>161.0510000000001</v>
      </c>
      <c r="O9">
        <f t="shared" si="2"/>
        <v>177.15610000000012</v>
      </c>
    </row>
    <row r="10" spans="1:19" x14ac:dyDescent="0.25">
      <c r="I10" t="s">
        <v>79</v>
      </c>
      <c r="J10">
        <f>R8*J5</f>
        <v>600000</v>
      </c>
      <c r="K10">
        <f>K9*K5</f>
        <v>14520000.000000004</v>
      </c>
      <c r="L10">
        <f t="shared" ref="L10:N10" si="3">L9*L5</f>
        <v>15972000.000000006</v>
      </c>
      <c r="M10">
        <f t="shared" si="3"/>
        <v>17569200.000000011</v>
      </c>
      <c r="N10">
        <f t="shared" si="3"/>
        <v>19326120.000000011</v>
      </c>
      <c r="O10">
        <f t="shared" ref="O10" si="4">N10*(1+$R$4)</f>
        <v>21258732.000000015</v>
      </c>
    </row>
    <row r="11" spans="1:19" x14ac:dyDescent="0.25">
      <c r="A11">
        <v>1</v>
      </c>
      <c r="B11" t="s">
        <v>11</v>
      </c>
    </row>
    <row r="12" spans="1:19" x14ac:dyDescent="0.25">
      <c r="B12" t="s">
        <v>12</v>
      </c>
    </row>
    <row r="14" spans="1:19" x14ac:dyDescent="0.25">
      <c r="C14" t="s">
        <v>13</v>
      </c>
      <c r="E14" s="3">
        <f>(C6+D6)</f>
        <v>16</v>
      </c>
      <c r="F14" s="2" t="s">
        <v>16</v>
      </c>
      <c r="G14" s="2">
        <f>E14/E15</f>
        <v>0.8</v>
      </c>
      <c r="H14" s="2"/>
    </row>
    <row r="15" spans="1:19" x14ac:dyDescent="0.25">
      <c r="E15" s="2">
        <f>F6</f>
        <v>20</v>
      </c>
      <c r="F15" s="2"/>
      <c r="G15" s="2"/>
      <c r="H15" s="2"/>
    </row>
    <row r="16" spans="1:19" x14ac:dyDescent="0.25">
      <c r="E16" s="2"/>
      <c r="F16" s="2"/>
      <c r="G16" s="2"/>
      <c r="H16" s="2"/>
    </row>
    <row r="17" spans="2:18" x14ac:dyDescent="0.25">
      <c r="C17" t="s">
        <v>17</v>
      </c>
      <c r="D17" s="4" t="s">
        <v>18</v>
      </c>
      <c r="E17" s="2">
        <f>E14-G14*J3</f>
        <v>12</v>
      </c>
      <c r="F17" s="2"/>
      <c r="G17" s="2"/>
      <c r="H17" s="2"/>
    </row>
    <row r="18" spans="2:18" x14ac:dyDescent="0.25">
      <c r="E18" s="2"/>
      <c r="F18" s="2"/>
      <c r="G18" s="2"/>
      <c r="H18" s="2"/>
    </row>
    <row r="19" spans="2:18" x14ac:dyDescent="0.25">
      <c r="B19" t="s">
        <v>20</v>
      </c>
      <c r="E19" s="2"/>
      <c r="F19" s="2"/>
      <c r="G19" s="2"/>
      <c r="H19" s="2"/>
    </row>
    <row r="20" spans="2:18" x14ac:dyDescent="0.25">
      <c r="E20" s="2"/>
      <c r="F20" s="2"/>
      <c r="G20" s="2"/>
      <c r="H20" s="2"/>
    </row>
    <row r="21" spans="2:18" x14ac:dyDescent="0.25">
      <c r="C21" t="s">
        <v>13</v>
      </c>
      <c r="E21" s="3">
        <f>C7+D7</f>
        <v>10</v>
      </c>
      <c r="F21" s="2" t="s">
        <v>16</v>
      </c>
      <c r="G21" s="2">
        <f>E21/E22</f>
        <v>1</v>
      </c>
      <c r="H21" s="2"/>
    </row>
    <row r="22" spans="2:18" x14ac:dyDescent="0.25">
      <c r="E22" s="2">
        <f>F7</f>
        <v>10</v>
      </c>
      <c r="F22" s="2"/>
      <c r="G22" s="2"/>
      <c r="H22" s="2"/>
    </row>
    <row r="23" spans="2:18" x14ac:dyDescent="0.25">
      <c r="E23" s="2"/>
      <c r="F23" s="2"/>
      <c r="G23" s="2"/>
      <c r="H23" s="2"/>
    </row>
    <row r="24" spans="2:18" x14ac:dyDescent="0.25">
      <c r="C24" t="s">
        <v>17</v>
      </c>
      <c r="D24" s="4" t="s">
        <v>18</v>
      </c>
      <c r="E24" s="2">
        <f>E21-G21*J3</f>
        <v>5</v>
      </c>
      <c r="F24" s="2"/>
      <c r="G24" s="2"/>
      <c r="H24" s="2"/>
    </row>
    <row r="25" spans="2:18" x14ac:dyDescent="0.25">
      <c r="E25" s="2"/>
      <c r="F25" s="2"/>
      <c r="G25" s="2"/>
      <c r="H25" s="2"/>
    </row>
    <row r="26" spans="2:18" x14ac:dyDescent="0.25">
      <c r="B26" t="s">
        <v>28</v>
      </c>
      <c r="E26" s="2"/>
      <c r="F26" s="2"/>
      <c r="G26" s="2"/>
      <c r="H26" s="2"/>
    </row>
    <row r="27" spans="2:18" x14ac:dyDescent="0.25">
      <c r="E27" s="2"/>
      <c r="F27" s="2"/>
      <c r="G27" s="2"/>
      <c r="H27" s="2"/>
    </row>
    <row r="28" spans="2:18" ht="15.75" x14ac:dyDescent="0.25">
      <c r="C28" s="14" t="s">
        <v>21</v>
      </c>
      <c r="D28" s="17" t="s">
        <v>22</v>
      </c>
      <c r="E28" s="15">
        <f>2*(1/5)</f>
        <v>0.4</v>
      </c>
      <c r="F28" s="16">
        <f>E28</f>
        <v>0.4</v>
      </c>
      <c r="G28" s="15"/>
      <c r="H28" s="2"/>
      <c r="L28" s="24" t="s">
        <v>9</v>
      </c>
      <c r="M28" s="19">
        <v>1</v>
      </c>
      <c r="N28" s="19">
        <v>2</v>
      </c>
      <c r="O28" s="19">
        <v>3</v>
      </c>
      <c r="P28" s="19">
        <v>4</v>
      </c>
      <c r="Q28" s="19">
        <v>5</v>
      </c>
      <c r="R28" s="19" t="s">
        <v>27</v>
      </c>
    </row>
    <row r="29" spans="2:18" x14ac:dyDescent="0.25">
      <c r="C29" s="14"/>
      <c r="D29" s="14"/>
      <c r="E29" s="14"/>
      <c r="F29" s="14"/>
      <c r="G29" s="14"/>
      <c r="L29" s="21" t="s">
        <v>3</v>
      </c>
      <c r="M29" s="9">
        <f>$G$14</f>
        <v>0.8</v>
      </c>
      <c r="N29" s="9">
        <f t="shared" ref="N29:Q29" si="5">$G$14</f>
        <v>0.8</v>
      </c>
      <c r="O29" s="9">
        <f t="shared" si="5"/>
        <v>0.8</v>
      </c>
      <c r="P29" s="9">
        <f t="shared" si="5"/>
        <v>0.8</v>
      </c>
      <c r="Q29" s="9">
        <f t="shared" si="5"/>
        <v>0.8</v>
      </c>
      <c r="R29" s="9">
        <f>E17</f>
        <v>12</v>
      </c>
    </row>
    <row r="30" spans="2:18" ht="36" customHeight="1" x14ac:dyDescent="0.25">
      <c r="C30" s="28" t="s">
        <v>23</v>
      </c>
      <c r="D30" s="28" t="s">
        <v>24</v>
      </c>
      <c r="E30" s="28" t="s">
        <v>25</v>
      </c>
      <c r="F30" s="29" t="s">
        <v>26</v>
      </c>
      <c r="G30" s="18"/>
      <c r="L30" s="21" t="s">
        <v>4</v>
      </c>
      <c r="M30" s="9">
        <f>$G$21</f>
        <v>1</v>
      </c>
      <c r="N30" s="9">
        <f t="shared" ref="N30:Q30" si="6">$G$21</f>
        <v>1</v>
      </c>
      <c r="O30" s="9">
        <f t="shared" si="6"/>
        <v>1</v>
      </c>
      <c r="P30" s="9">
        <f t="shared" si="6"/>
        <v>1</v>
      </c>
      <c r="Q30" s="9">
        <f t="shared" si="6"/>
        <v>1</v>
      </c>
      <c r="R30" s="9">
        <f>E24</f>
        <v>5</v>
      </c>
    </row>
    <row r="31" spans="2:18" ht="30" x14ac:dyDescent="0.25">
      <c r="C31" s="15">
        <v>1</v>
      </c>
      <c r="D31" s="25">
        <f>F28*D8</f>
        <v>2.4000000000000004</v>
      </c>
      <c r="E31" s="25">
        <f>D8-D31</f>
        <v>3.5999999999999996</v>
      </c>
      <c r="F31" s="25">
        <f>D31</f>
        <v>2.4000000000000004</v>
      </c>
      <c r="G31" s="14"/>
      <c r="L31" s="22" t="s">
        <v>5</v>
      </c>
      <c r="M31" s="20">
        <f>F31</f>
        <v>2.4000000000000004</v>
      </c>
      <c r="N31" s="20">
        <f>F32</f>
        <v>1.44</v>
      </c>
      <c r="O31" s="20">
        <f>F33</f>
        <v>0.86399999999999988</v>
      </c>
      <c r="P31" s="20">
        <f>F34</f>
        <v>0.64799999999999991</v>
      </c>
      <c r="Q31" s="20">
        <f>F35</f>
        <v>0.64799999999999991</v>
      </c>
      <c r="R31" s="9">
        <v>0</v>
      </c>
    </row>
    <row r="32" spans="2:18" x14ac:dyDescent="0.25">
      <c r="C32" s="2">
        <v>2</v>
      </c>
      <c r="D32" s="2">
        <f>F28*E31</f>
        <v>1.44</v>
      </c>
      <c r="E32" s="26">
        <f>E31-D32</f>
        <v>2.1599999999999997</v>
      </c>
      <c r="F32" s="26">
        <f>D32</f>
        <v>1.44</v>
      </c>
      <c r="L32" s="23" t="s">
        <v>2</v>
      </c>
      <c r="M32" s="7"/>
      <c r="N32" s="7"/>
      <c r="O32" s="7"/>
      <c r="P32" s="7"/>
      <c r="Q32" s="7"/>
      <c r="R32" s="7">
        <f>C5</f>
        <v>8</v>
      </c>
    </row>
    <row r="33" spans="1:18" x14ac:dyDescent="0.25">
      <c r="C33" s="2">
        <v>3</v>
      </c>
      <c r="D33" s="2">
        <f>F28*E32</f>
        <v>0.86399999999999988</v>
      </c>
      <c r="E33" s="27">
        <f>E32-D33</f>
        <v>1.2959999999999998</v>
      </c>
      <c r="F33" s="2">
        <f>D33</f>
        <v>0.86399999999999988</v>
      </c>
      <c r="L33" s="21"/>
      <c r="M33" s="9">
        <f>SUM(M29:M32)</f>
        <v>4.2</v>
      </c>
      <c r="N33" s="9">
        <f t="shared" ref="N33:R33" si="7">SUM(N29:N32)</f>
        <v>3.24</v>
      </c>
      <c r="O33" s="9">
        <f t="shared" si="7"/>
        <v>2.6639999999999997</v>
      </c>
      <c r="P33" s="9">
        <f t="shared" si="7"/>
        <v>2.448</v>
      </c>
      <c r="Q33" s="9">
        <f t="shared" si="7"/>
        <v>2.448</v>
      </c>
      <c r="R33" s="9">
        <f t="shared" si="7"/>
        <v>25</v>
      </c>
    </row>
    <row r="34" spans="1:18" x14ac:dyDescent="0.25">
      <c r="C34" s="2">
        <v>4</v>
      </c>
      <c r="D34" s="2">
        <f>F28*E33</f>
        <v>0.51839999999999997</v>
      </c>
      <c r="E34" s="27">
        <f>E33-D34</f>
        <v>0.77759999999999985</v>
      </c>
      <c r="F34" s="2">
        <f>E33/2</f>
        <v>0.64799999999999991</v>
      </c>
    </row>
    <row r="35" spans="1:18" x14ac:dyDescent="0.25">
      <c r="C35" s="2">
        <v>5</v>
      </c>
      <c r="D35" s="27">
        <f>E34</f>
        <v>0.77759999999999985</v>
      </c>
      <c r="E35" s="2" t="s">
        <v>1</v>
      </c>
      <c r="F35" s="2">
        <f>F34</f>
        <v>0.64799999999999991</v>
      </c>
    </row>
    <row r="37" spans="1:18" x14ac:dyDescent="0.25">
      <c r="A37" s="34">
        <v>2</v>
      </c>
      <c r="B37" s="34" t="s">
        <v>29</v>
      </c>
      <c r="C37" s="34"/>
      <c r="E37">
        <v>1000000</v>
      </c>
    </row>
    <row r="38" spans="1:18" x14ac:dyDescent="0.25">
      <c r="B38" s="2" t="s">
        <v>51</v>
      </c>
      <c r="C38" s="2"/>
      <c r="D38" s="2"/>
      <c r="E38" s="2"/>
      <c r="F38" s="2"/>
      <c r="G38" s="2"/>
      <c r="H38" s="2"/>
      <c r="I38" s="2"/>
      <c r="J38" s="2"/>
      <c r="K38" s="2"/>
      <c r="N38" s="19">
        <v>0</v>
      </c>
      <c r="O38" s="19">
        <v>1</v>
      </c>
      <c r="P38" s="19">
        <v>2</v>
      </c>
      <c r="Q38" s="19">
        <v>3</v>
      </c>
      <c r="R38" s="19">
        <v>4</v>
      </c>
    </row>
    <row r="39" spans="1:18" x14ac:dyDescent="0.25">
      <c r="B39" s="30" t="s">
        <v>30</v>
      </c>
      <c r="C39" s="2">
        <f>$J$5</f>
        <v>60000</v>
      </c>
      <c r="D39" s="3">
        <v>60</v>
      </c>
      <c r="E39" s="2">
        <f>$J$6</f>
        <v>200</v>
      </c>
      <c r="F39" s="30" t="s">
        <v>16</v>
      </c>
      <c r="G39" s="2">
        <f>C39*(D39/D40)*E39</f>
        <v>2000000</v>
      </c>
      <c r="H39" s="2"/>
      <c r="I39" s="2"/>
      <c r="J39" s="2">
        <f>G39/$E$37</f>
        <v>2</v>
      </c>
      <c r="K39" s="4" t="s">
        <v>42</v>
      </c>
      <c r="L39" t="s">
        <v>43</v>
      </c>
      <c r="N39" s="9">
        <f>J39</f>
        <v>2</v>
      </c>
      <c r="O39" s="9">
        <f>J42</f>
        <v>2.4000000000000008</v>
      </c>
      <c r="P39" s="9">
        <f>J45</f>
        <v>0.44</v>
      </c>
      <c r="Q39" s="9">
        <f>J48</f>
        <v>0.48400000000000093</v>
      </c>
      <c r="R39" s="9">
        <f>J51</f>
        <v>0.53240000000000187</v>
      </c>
    </row>
    <row r="40" spans="1:18" x14ac:dyDescent="0.25">
      <c r="B40" s="2"/>
      <c r="C40" s="2"/>
      <c r="D40" s="2">
        <v>360</v>
      </c>
      <c r="E40" s="2"/>
      <c r="F40" s="31"/>
      <c r="G40" s="2"/>
      <c r="H40" s="2"/>
      <c r="I40" s="2"/>
      <c r="J40" s="2"/>
      <c r="K40" s="4" t="s">
        <v>44</v>
      </c>
      <c r="L40" t="s">
        <v>49</v>
      </c>
      <c r="N40" s="37">
        <f>J56</f>
        <v>0.55000000000000016</v>
      </c>
      <c r="O40" s="38">
        <f>J59</f>
        <v>0.66000000000000014</v>
      </c>
      <c r="P40" s="38">
        <f>J62</f>
        <v>0.12100000000000023</v>
      </c>
      <c r="Q40" s="38">
        <f>J65</f>
        <v>0.13310000000000047</v>
      </c>
      <c r="R40" s="38">
        <f>J68</f>
        <v>0.14641000000000001</v>
      </c>
    </row>
    <row r="41" spans="1:18" x14ac:dyDescent="0.25">
      <c r="B41" s="2"/>
      <c r="C41" s="2"/>
      <c r="D41" s="2"/>
      <c r="E41" s="2"/>
      <c r="F41" s="31"/>
      <c r="G41" s="2"/>
      <c r="H41" s="2"/>
      <c r="I41" s="2"/>
      <c r="J41" s="2"/>
      <c r="K41" s="4" t="s">
        <v>45</v>
      </c>
      <c r="L41" t="s">
        <v>48</v>
      </c>
      <c r="N41" s="39">
        <f>J73</f>
        <v>0.82500000000000007</v>
      </c>
      <c r="O41" s="39">
        <f>J76</f>
        <v>0.99000000000000032</v>
      </c>
      <c r="P41" s="7">
        <f>J79</f>
        <v>0.18150000000000024</v>
      </c>
      <c r="Q41" s="7">
        <f>J82</f>
        <v>0.19965000000000069</v>
      </c>
      <c r="R41" s="7">
        <f>J85</f>
        <v>0.219615</v>
      </c>
    </row>
    <row r="42" spans="1:18" x14ac:dyDescent="0.25">
      <c r="B42" s="30" t="s">
        <v>31</v>
      </c>
      <c r="C42" s="2">
        <f>$K$5</f>
        <v>120000</v>
      </c>
      <c r="D42" s="3">
        <v>60</v>
      </c>
      <c r="E42" s="2">
        <f>$K$6</f>
        <v>220.00000000000003</v>
      </c>
      <c r="F42" s="30" t="s">
        <v>1</v>
      </c>
      <c r="G42" s="2">
        <f>G39</f>
        <v>2000000</v>
      </c>
      <c r="H42" s="30" t="s">
        <v>16</v>
      </c>
      <c r="I42" s="2">
        <f>C42*(D42/D43)*E42-G42</f>
        <v>2400000.0000000009</v>
      </c>
      <c r="J42" s="2">
        <f>I42/$E$37</f>
        <v>2.4000000000000008</v>
      </c>
      <c r="K42" s="4"/>
      <c r="N42" s="9"/>
      <c r="O42" s="9"/>
      <c r="P42" s="9"/>
      <c r="Q42" s="9"/>
      <c r="R42" s="9"/>
    </row>
    <row r="43" spans="1:18" x14ac:dyDescent="0.25">
      <c r="B43" s="2"/>
      <c r="C43" s="2"/>
      <c r="D43" s="2">
        <v>360</v>
      </c>
      <c r="E43" s="2"/>
      <c r="F43" s="31"/>
      <c r="G43" s="2"/>
      <c r="H43" s="2"/>
      <c r="I43" s="2"/>
      <c r="J43" s="2"/>
      <c r="L43" t="s">
        <v>50</v>
      </c>
      <c r="N43" s="40">
        <f>N39+N40-N41</f>
        <v>1.7250000000000001</v>
      </c>
      <c r="O43" s="40">
        <f t="shared" ref="O43:R43" si="8">O39+O40-O41</f>
        <v>2.0700000000000007</v>
      </c>
      <c r="P43" s="56">
        <f>P39+P40-P41</f>
        <v>0.37950000000000006</v>
      </c>
      <c r="Q43" s="40">
        <f t="shared" si="8"/>
        <v>0.41745000000000076</v>
      </c>
      <c r="R43" s="40">
        <f t="shared" si="8"/>
        <v>0.45919500000000191</v>
      </c>
    </row>
    <row r="44" spans="1:18" x14ac:dyDescent="0.25">
      <c r="B44" s="2"/>
      <c r="C44" s="2"/>
      <c r="D44" s="2"/>
      <c r="E44" s="2"/>
      <c r="F44" s="2"/>
      <c r="G44" s="2"/>
      <c r="H44" s="2"/>
      <c r="I44" s="2"/>
      <c r="J44" s="2"/>
      <c r="L44" t="s">
        <v>53</v>
      </c>
      <c r="N44" s="9">
        <f>J6</f>
        <v>200</v>
      </c>
      <c r="O44" s="9">
        <f>K6</f>
        <v>220.00000000000003</v>
      </c>
      <c r="P44" s="9">
        <f t="shared" ref="P44:R44" si="9">L6</f>
        <v>242.00000000000006</v>
      </c>
      <c r="Q44" s="9">
        <f t="shared" si="9"/>
        <v>266.2000000000001</v>
      </c>
      <c r="R44" s="9">
        <f t="shared" si="9"/>
        <v>292.82000000000016</v>
      </c>
    </row>
    <row r="45" spans="1:18" x14ac:dyDescent="0.25">
      <c r="B45" s="30" t="s">
        <v>33</v>
      </c>
      <c r="C45" s="2">
        <f>$L$5</f>
        <v>120000</v>
      </c>
      <c r="D45" s="3">
        <v>60</v>
      </c>
      <c r="E45" s="2">
        <f>$L$6</f>
        <v>242.00000000000006</v>
      </c>
      <c r="F45" s="2" t="s">
        <v>1</v>
      </c>
      <c r="G45" s="2">
        <f>C42*D42/D43*E42</f>
        <v>4400000.0000000009</v>
      </c>
      <c r="H45" s="2" t="s">
        <v>16</v>
      </c>
      <c r="I45" s="2">
        <f>C45*D45/D46*E45-G45</f>
        <v>440000</v>
      </c>
      <c r="J45" s="2">
        <f>I45/$E$37</f>
        <v>0.44</v>
      </c>
      <c r="L45" t="s">
        <v>54</v>
      </c>
      <c r="N45" s="9">
        <f>J7</f>
        <v>110.00000000000001</v>
      </c>
      <c r="O45" s="9">
        <f t="shared" ref="O45:R45" si="10">K7</f>
        <v>121.00000000000003</v>
      </c>
      <c r="P45" s="9">
        <f t="shared" si="10"/>
        <v>133.10000000000005</v>
      </c>
      <c r="Q45" s="9">
        <f t="shared" si="10"/>
        <v>146.41000000000008</v>
      </c>
      <c r="R45" s="9">
        <f t="shared" si="10"/>
        <v>161.0510000000001</v>
      </c>
    </row>
    <row r="46" spans="1:18" x14ac:dyDescent="0.25">
      <c r="B46" s="2"/>
      <c r="C46" s="2"/>
      <c r="D46" s="2">
        <v>360</v>
      </c>
      <c r="E46" s="2"/>
      <c r="F46" s="2"/>
      <c r="G46" s="2"/>
      <c r="H46" s="2"/>
      <c r="I46" s="2"/>
      <c r="J46" s="2"/>
    </row>
    <row r="47" spans="1:18" x14ac:dyDescent="0.25">
      <c r="B47" s="2"/>
      <c r="C47" s="2"/>
      <c r="D47" s="2"/>
      <c r="E47" s="2"/>
      <c r="F47" s="2"/>
      <c r="G47" s="2"/>
      <c r="H47" s="2"/>
      <c r="I47" s="2"/>
      <c r="J47" s="2"/>
    </row>
    <row r="48" spans="1:18" x14ac:dyDescent="0.25">
      <c r="B48" s="30" t="s">
        <v>36</v>
      </c>
      <c r="C48" s="2">
        <f>$M$5</f>
        <v>120000</v>
      </c>
      <c r="D48" s="3">
        <v>60</v>
      </c>
      <c r="E48" s="2">
        <f>$M$6</f>
        <v>266.2000000000001</v>
      </c>
      <c r="F48" s="2" t="s">
        <v>1</v>
      </c>
      <c r="G48" s="2">
        <f>C45*D45/D46*E45</f>
        <v>4840000.0000000009</v>
      </c>
      <c r="H48" s="2"/>
      <c r="I48" s="2">
        <f>C48*D48/D49*E48-G48</f>
        <v>484000.00000000093</v>
      </c>
      <c r="J48" s="2">
        <f>I48/$E$37</f>
        <v>0.48400000000000093</v>
      </c>
    </row>
    <row r="49" spans="2:10" x14ac:dyDescent="0.25">
      <c r="B49" s="2"/>
      <c r="C49" s="2"/>
      <c r="D49" s="2">
        <v>360</v>
      </c>
      <c r="E49" s="2"/>
      <c r="F49" s="2"/>
      <c r="G49" s="2"/>
      <c r="H49" s="2"/>
      <c r="I49" s="2"/>
      <c r="J49" s="2"/>
    </row>
    <row r="50" spans="2:10" x14ac:dyDescent="0.25">
      <c r="B50" s="2"/>
      <c r="C50" s="2"/>
      <c r="D50" s="2"/>
      <c r="E50" s="2"/>
      <c r="F50" s="2"/>
      <c r="G50" s="2"/>
      <c r="H50" s="2"/>
      <c r="I50" s="2"/>
      <c r="J50" s="2"/>
    </row>
    <row r="51" spans="2:10" x14ac:dyDescent="0.25">
      <c r="B51" s="30" t="s">
        <v>37</v>
      </c>
      <c r="C51" s="2">
        <f>$N$5</f>
        <v>120000</v>
      </c>
      <c r="D51" s="3">
        <v>60</v>
      </c>
      <c r="E51" s="2">
        <f>$N$6</f>
        <v>292.82000000000016</v>
      </c>
      <c r="F51" s="2" t="s">
        <v>1</v>
      </c>
      <c r="G51" s="2">
        <f>C48*D48/D49*E48</f>
        <v>5324000.0000000019</v>
      </c>
      <c r="H51" s="2"/>
      <c r="I51" s="2">
        <f>C51*D51/D52*E51-G51</f>
        <v>532400.00000000186</v>
      </c>
      <c r="J51" s="2">
        <f>I51/$E$37</f>
        <v>0.53240000000000187</v>
      </c>
    </row>
    <row r="52" spans="2:10" x14ac:dyDescent="0.25">
      <c r="D52" s="2">
        <v>360</v>
      </c>
    </row>
    <row r="54" spans="2:10" x14ac:dyDescent="0.25">
      <c r="B54" t="s">
        <v>47</v>
      </c>
    </row>
    <row r="55" spans="2:10" x14ac:dyDescent="0.25">
      <c r="B55" s="2"/>
      <c r="C55" s="2"/>
      <c r="D55" s="2"/>
      <c r="E55" s="2"/>
      <c r="F55" s="2"/>
      <c r="G55" s="2"/>
      <c r="H55" s="2"/>
      <c r="I55" s="2"/>
      <c r="J55" s="2"/>
    </row>
    <row r="56" spans="2:10" x14ac:dyDescent="0.25">
      <c r="B56" s="30" t="s">
        <v>30</v>
      </c>
      <c r="C56" s="2">
        <f>$J$5</f>
        <v>60000</v>
      </c>
      <c r="D56" s="3">
        <v>30</v>
      </c>
      <c r="E56" s="2">
        <f>J7</f>
        <v>110.00000000000001</v>
      </c>
      <c r="F56" s="30" t="s">
        <v>16</v>
      </c>
      <c r="G56" s="2">
        <f>C56*(D56/D57)*E56</f>
        <v>550000.00000000012</v>
      </c>
      <c r="H56" s="2"/>
      <c r="I56" s="2"/>
      <c r="J56" s="26">
        <f>G56/$E$37</f>
        <v>0.55000000000000016</v>
      </c>
    </row>
    <row r="57" spans="2:10" x14ac:dyDescent="0.25">
      <c r="B57" s="2"/>
      <c r="C57" s="2"/>
      <c r="D57" s="2">
        <v>360</v>
      </c>
      <c r="E57" s="2"/>
      <c r="F57" s="31"/>
      <c r="G57" s="2"/>
      <c r="H57" s="2"/>
      <c r="I57" s="2"/>
      <c r="J57" s="2"/>
    </row>
    <row r="58" spans="2:10" x14ac:dyDescent="0.25">
      <c r="B58" s="2"/>
      <c r="C58" s="2"/>
      <c r="D58" s="2"/>
      <c r="E58" s="2"/>
      <c r="F58" s="31"/>
      <c r="G58" s="2"/>
      <c r="H58" s="2"/>
      <c r="I58" s="2"/>
      <c r="J58" s="2"/>
    </row>
    <row r="59" spans="2:10" x14ac:dyDescent="0.25">
      <c r="B59" s="30" t="s">
        <v>31</v>
      </c>
      <c r="C59" s="2">
        <f>$K$5</f>
        <v>120000</v>
      </c>
      <c r="D59" s="3">
        <v>30</v>
      </c>
      <c r="E59" s="2">
        <f>K7</f>
        <v>121.00000000000003</v>
      </c>
      <c r="F59" s="30" t="s">
        <v>1</v>
      </c>
      <c r="G59" s="2">
        <f>G56</f>
        <v>550000.00000000012</v>
      </c>
      <c r="H59" s="30" t="s">
        <v>16</v>
      </c>
      <c r="I59" s="2">
        <f>C59*(D59/D60)*E59-G59</f>
        <v>660000.00000000012</v>
      </c>
      <c r="J59" s="2">
        <f>I59/$E$37</f>
        <v>0.66000000000000014</v>
      </c>
    </row>
    <row r="60" spans="2:10" x14ac:dyDescent="0.25">
      <c r="B60" s="2"/>
      <c r="C60" s="2"/>
      <c r="D60" s="2">
        <v>360</v>
      </c>
      <c r="E60" s="2"/>
      <c r="F60" s="31"/>
      <c r="G60" s="2"/>
      <c r="H60" s="2"/>
      <c r="I60" s="2"/>
      <c r="J60" s="2"/>
    </row>
    <row r="61" spans="2:10" x14ac:dyDescent="0.25">
      <c r="B61" s="2"/>
      <c r="C61" s="2"/>
      <c r="D61" s="2"/>
      <c r="E61" s="2"/>
      <c r="F61" s="2"/>
      <c r="G61" s="2"/>
      <c r="H61" s="2"/>
      <c r="I61" s="2"/>
      <c r="J61" s="2"/>
    </row>
    <row r="62" spans="2:10" x14ac:dyDescent="0.25">
      <c r="B62" s="30" t="s">
        <v>33</v>
      </c>
      <c r="C62" s="2">
        <f>$L$5</f>
        <v>120000</v>
      </c>
      <c r="D62" s="3">
        <v>30</v>
      </c>
      <c r="E62" s="2">
        <f>L7</f>
        <v>133.10000000000005</v>
      </c>
      <c r="F62" s="2" t="s">
        <v>1</v>
      </c>
      <c r="G62" s="2">
        <f>C59*D59/D60*E59</f>
        <v>1210000.0000000002</v>
      </c>
      <c r="H62" s="2" t="s">
        <v>16</v>
      </c>
      <c r="I62" s="2">
        <f>C62*D62/D63*E62-G62</f>
        <v>121000.00000000023</v>
      </c>
      <c r="J62" s="2">
        <f>I62/$E$37</f>
        <v>0.12100000000000023</v>
      </c>
    </row>
    <row r="63" spans="2:10" x14ac:dyDescent="0.25">
      <c r="B63" s="2"/>
      <c r="C63" s="2"/>
      <c r="D63" s="2">
        <v>360</v>
      </c>
      <c r="E63" s="2"/>
      <c r="F63" s="2"/>
      <c r="G63" s="2"/>
      <c r="H63" s="2"/>
      <c r="I63" s="2"/>
      <c r="J63" s="2"/>
    </row>
    <row r="64" spans="2:10" x14ac:dyDescent="0.25">
      <c r="B64" s="2"/>
      <c r="C64" s="2"/>
      <c r="D64" s="2"/>
      <c r="E64" s="2"/>
      <c r="F64" s="2"/>
      <c r="G64" s="2"/>
      <c r="H64" s="2"/>
      <c r="I64" s="2"/>
      <c r="J64" s="2"/>
    </row>
    <row r="65" spans="2:10" x14ac:dyDescent="0.25">
      <c r="B65" s="30" t="s">
        <v>36</v>
      </c>
      <c r="C65" s="2">
        <f>$M$5</f>
        <v>120000</v>
      </c>
      <c r="D65" s="3">
        <v>30</v>
      </c>
      <c r="E65" s="2">
        <f>M7</f>
        <v>146.41000000000008</v>
      </c>
      <c r="F65" s="2" t="s">
        <v>1</v>
      </c>
      <c r="G65" s="2">
        <f>C62*D62/D63*E62</f>
        <v>1331000.0000000005</v>
      </c>
      <c r="H65" s="2" t="s">
        <v>16</v>
      </c>
      <c r="I65" s="2">
        <f>C65*D65/D66*E65-G65</f>
        <v>133100.00000000047</v>
      </c>
      <c r="J65" s="2">
        <f>I65/$E$37</f>
        <v>0.13310000000000047</v>
      </c>
    </row>
    <row r="66" spans="2:10" x14ac:dyDescent="0.25">
      <c r="B66" s="2"/>
      <c r="C66" s="2"/>
      <c r="D66" s="2">
        <v>360</v>
      </c>
      <c r="E66" s="2"/>
      <c r="F66" s="2"/>
      <c r="G66" s="2"/>
      <c r="H66" s="2"/>
      <c r="I66" s="2"/>
      <c r="J66" s="2"/>
    </row>
    <row r="67" spans="2:10" x14ac:dyDescent="0.25">
      <c r="B67" s="2"/>
      <c r="C67" s="2"/>
      <c r="D67" s="2"/>
      <c r="E67" s="2"/>
      <c r="F67" s="2"/>
      <c r="G67" s="2"/>
      <c r="H67" s="2"/>
      <c r="I67" s="2"/>
      <c r="J67" s="2"/>
    </row>
    <row r="68" spans="2:10" x14ac:dyDescent="0.25">
      <c r="B68" s="30" t="s">
        <v>37</v>
      </c>
      <c r="C68" s="2">
        <f>$N$5</f>
        <v>120000</v>
      </c>
      <c r="D68" s="3">
        <v>30</v>
      </c>
      <c r="E68" s="2">
        <f>N7</f>
        <v>161.0510000000001</v>
      </c>
      <c r="F68" s="2" t="s">
        <v>1</v>
      </c>
      <c r="G68" s="2">
        <f>C65*D65/D66*E65</f>
        <v>1464100.0000000009</v>
      </c>
      <c r="H68" s="2"/>
      <c r="I68" s="2">
        <f>C68*D68/D69*E68-G68</f>
        <v>146410</v>
      </c>
      <c r="J68" s="2">
        <f>I68/$E$37</f>
        <v>0.14641000000000001</v>
      </c>
    </row>
    <row r="69" spans="2:10" x14ac:dyDescent="0.25">
      <c r="D69" s="2">
        <v>360</v>
      </c>
    </row>
    <row r="71" spans="2:10" x14ac:dyDescent="0.25">
      <c r="B71" t="s">
        <v>52</v>
      </c>
    </row>
    <row r="72" spans="2:10" x14ac:dyDescent="0.25">
      <c r="B72" t="s">
        <v>41</v>
      </c>
    </row>
    <row r="73" spans="2:10" x14ac:dyDescent="0.25">
      <c r="B73" s="30" t="s">
        <v>30</v>
      </c>
      <c r="C73" s="2">
        <f>$J$5</f>
        <v>60000</v>
      </c>
      <c r="D73" s="3">
        <v>45</v>
      </c>
      <c r="E73" s="2">
        <f>E56</f>
        <v>110.00000000000001</v>
      </c>
      <c r="F73" s="30" t="s">
        <v>16</v>
      </c>
      <c r="G73" s="2">
        <f>C73*(D73/D74)*E73</f>
        <v>825000.00000000012</v>
      </c>
      <c r="H73" s="2"/>
      <c r="I73" s="2"/>
      <c r="J73" s="27">
        <f>G73/$E$37</f>
        <v>0.82500000000000007</v>
      </c>
    </row>
    <row r="74" spans="2:10" x14ac:dyDescent="0.25">
      <c r="B74" s="2"/>
      <c r="C74" s="2"/>
      <c r="D74" s="2">
        <v>360</v>
      </c>
      <c r="E74" s="2"/>
      <c r="F74" s="31"/>
      <c r="G74" s="2"/>
      <c r="H74" s="2"/>
      <c r="I74" s="2"/>
      <c r="J74" s="2"/>
    </row>
    <row r="75" spans="2:10" x14ac:dyDescent="0.25">
      <c r="B75" s="2"/>
      <c r="C75" s="2"/>
      <c r="D75" s="2"/>
      <c r="E75" s="2"/>
      <c r="F75" s="31"/>
      <c r="G75" s="2"/>
      <c r="H75" s="2"/>
      <c r="I75" s="2"/>
      <c r="J75" s="2"/>
    </row>
    <row r="76" spans="2:10" x14ac:dyDescent="0.25">
      <c r="B76" s="30" t="s">
        <v>31</v>
      </c>
      <c r="C76" s="2">
        <f>$K$5</f>
        <v>120000</v>
      </c>
      <c r="D76" s="3">
        <v>45</v>
      </c>
      <c r="E76" s="2">
        <f>E59</f>
        <v>121.00000000000003</v>
      </c>
      <c r="F76" s="30" t="s">
        <v>1</v>
      </c>
      <c r="G76" s="2">
        <f>G73</f>
        <v>825000.00000000012</v>
      </c>
      <c r="H76" s="30" t="s">
        <v>16</v>
      </c>
      <c r="I76" s="2">
        <f>C76*(D76/D77)*E76-G76</f>
        <v>990000.00000000035</v>
      </c>
      <c r="J76" s="26">
        <f>I76/$E$37</f>
        <v>0.99000000000000032</v>
      </c>
    </row>
    <row r="77" spans="2:10" x14ac:dyDescent="0.25">
      <c r="B77" s="2"/>
      <c r="C77" s="2"/>
      <c r="D77" s="2">
        <v>360</v>
      </c>
      <c r="E77" s="2"/>
      <c r="F77" s="31"/>
      <c r="G77" s="2"/>
      <c r="H77" s="2"/>
      <c r="I77" s="2"/>
      <c r="J77" s="2"/>
    </row>
    <row r="78" spans="2:10" x14ac:dyDescent="0.25">
      <c r="B78" s="2"/>
      <c r="C78" s="2"/>
      <c r="D78" s="2"/>
      <c r="E78" s="2"/>
      <c r="F78" s="2"/>
      <c r="G78" s="2"/>
      <c r="H78" s="2"/>
      <c r="I78" s="2"/>
      <c r="J78" s="2"/>
    </row>
    <row r="79" spans="2:10" x14ac:dyDescent="0.25">
      <c r="B79" s="30" t="s">
        <v>33</v>
      </c>
      <c r="C79" s="2">
        <f>$L$5</f>
        <v>120000</v>
      </c>
      <c r="D79" s="3">
        <v>45</v>
      </c>
      <c r="E79" s="2">
        <f>E62</f>
        <v>133.10000000000005</v>
      </c>
      <c r="F79" s="2" t="s">
        <v>1</v>
      </c>
      <c r="G79" s="2">
        <f>C76*D76/D77*E76</f>
        <v>1815000.0000000005</v>
      </c>
      <c r="H79" s="2" t="s">
        <v>16</v>
      </c>
      <c r="I79" s="2">
        <f>C79*D79/D80*E79-G79</f>
        <v>181500.00000000023</v>
      </c>
      <c r="J79" s="2">
        <f>I79/$E$37</f>
        <v>0.18150000000000024</v>
      </c>
    </row>
    <row r="80" spans="2:10" x14ac:dyDescent="0.25">
      <c r="B80" s="2"/>
      <c r="C80" s="2"/>
      <c r="D80" s="2">
        <v>360</v>
      </c>
      <c r="E80" s="2"/>
      <c r="F80" s="2"/>
      <c r="G80" s="2"/>
      <c r="H80" s="2"/>
      <c r="I80" s="2"/>
      <c r="J80" s="2"/>
    </row>
    <row r="81" spans="2:19" x14ac:dyDescent="0.25">
      <c r="B81" s="2"/>
      <c r="C81" s="2"/>
      <c r="D81" s="2"/>
      <c r="E81" s="2"/>
      <c r="F81" s="2"/>
      <c r="G81" s="2"/>
      <c r="H81" s="2"/>
      <c r="I81" s="2"/>
      <c r="J81" s="2"/>
    </row>
    <row r="82" spans="2:19" x14ac:dyDescent="0.25">
      <c r="B82" s="30" t="s">
        <v>36</v>
      </c>
      <c r="C82" s="2">
        <f>$M$5</f>
        <v>120000</v>
      </c>
      <c r="D82" s="3">
        <v>45</v>
      </c>
      <c r="E82" s="2">
        <f>E65</f>
        <v>146.41000000000008</v>
      </c>
      <c r="F82" s="2" t="s">
        <v>1</v>
      </c>
      <c r="G82" s="2">
        <f>C79*D79/D80*E79</f>
        <v>1996500.0000000007</v>
      </c>
      <c r="H82" s="2" t="s">
        <v>16</v>
      </c>
      <c r="I82" s="2">
        <f>C82*D82/D83*E82-G82</f>
        <v>199650.0000000007</v>
      </c>
      <c r="J82" s="2">
        <f>I82/$E$37</f>
        <v>0.19965000000000069</v>
      </c>
    </row>
    <row r="83" spans="2:19" x14ac:dyDescent="0.25">
      <c r="B83" s="2"/>
      <c r="C83" s="2"/>
      <c r="D83" s="2">
        <v>360</v>
      </c>
      <c r="E83" s="2"/>
      <c r="F83" s="2"/>
      <c r="G83" s="2"/>
      <c r="H83" s="2"/>
      <c r="I83" s="2"/>
      <c r="J83" s="2"/>
    </row>
    <row r="84" spans="2:19" x14ac:dyDescent="0.25">
      <c r="B84" s="2"/>
      <c r="C84" s="2"/>
      <c r="D84" s="2"/>
      <c r="E84" s="2"/>
      <c r="F84" s="2"/>
      <c r="G84" s="2"/>
      <c r="H84" s="2"/>
      <c r="I84" s="2"/>
      <c r="J84" s="2"/>
    </row>
    <row r="85" spans="2:19" x14ac:dyDescent="0.25">
      <c r="B85" s="30" t="s">
        <v>37</v>
      </c>
      <c r="C85" s="2">
        <f>$N$5</f>
        <v>120000</v>
      </c>
      <c r="D85" s="3">
        <v>45</v>
      </c>
      <c r="E85" s="2">
        <f>E68</f>
        <v>161.0510000000001</v>
      </c>
      <c r="F85" s="2" t="s">
        <v>1</v>
      </c>
      <c r="G85" s="2">
        <f>C82*D82/D83*E82</f>
        <v>2196150.0000000014</v>
      </c>
      <c r="H85" s="2"/>
      <c r="I85" s="2">
        <f>C85*D85/D86*E85-G85</f>
        <v>219615</v>
      </c>
      <c r="J85" s="2">
        <f>I85/$E$37</f>
        <v>0.219615</v>
      </c>
    </row>
    <row r="86" spans="2:19" x14ac:dyDescent="0.25">
      <c r="D86" s="2">
        <v>360</v>
      </c>
    </row>
    <row r="87" spans="2:19" x14ac:dyDescent="0.25">
      <c r="L87">
        <v>1000000</v>
      </c>
    </row>
    <row r="88" spans="2:19" x14ac:dyDescent="0.25">
      <c r="L88" t="s">
        <v>55</v>
      </c>
      <c r="N88" s="19">
        <v>0</v>
      </c>
      <c r="O88" s="19">
        <v>1</v>
      </c>
      <c r="P88" s="19">
        <v>2</v>
      </c>
      <c r="Q88" s="19">
        <v>3</v>
      </c>
      <c r="R88" s="19">
        <v>4</v>
      </c>
      <c r="S88" s="19">
        <v>5</v>
      </c>
    </row>
    <row r="90" spans="2:19" x14ac:dyDescent="0.25">
      <c r="K90" s="44" t="s">
        <v>42</v>
      </c>
      <c r="L90" t="s">
        <v>56</v>
      </c>
      <c r="N90">
        <v>20</v>
      </c>
      <c r="O90">
        <v>20</v>
      </c>
    </row>
    <row r="91" spans="2:19" x14ac:dyDescent="0.25">
      <c r="K91" s="44" t="s">
        <v>44</v>
      </c>
      <c r="L91" t="s">
        <v>57</v>
      </c>
      <c r="O91">
        <f>J8/$L$87</f>
        <v>12</v>
      </c>
      <c r="P91">
        <f t="shared" ref="P91:S91" si="11">K8/$L$87</f>
        <v>26.400000000000002</v>
      </c>
      <c r="Q91">
        <f t="shared" si="11"/>
        <v>29.040000000000006</v>
      </c>
      <c r="R91">
        <f t="shared" si="11"/>
        <v>31.94400000000001</v>
      </c>
      <c r="S91">
        <f t="shared" si="11"/>
        <v>35.138400000000026</v>
      </c>
    </row>
    <row r="92" spans="2:19" x14ac:dyDescent="0.25">
      <c r="K92" s="44" t="s">
        <v>45</v>
      </c>
      <c r="L92" t="s">
        <v>58</v>
      </c>
      <c r="O92">
        <f>K10/$L$87</f>
        <v>14.520000000000003</v>
      </c>
    </row>
    <row r="93" spans="2:19" x14ac:dyDescent="0.25">
      <c r="K93" s="44" t="s">
        <v>46</v>
      </c>
      <c r="L93" t="s">
        <v>59</v>
      </c>
      <c r="O93">
        <f>R6/$L$87</f>
        <v>5</v>
      </c>
      <c r="P93">
        <f>O93*(1+$R$4)</f>
        <v>5.5</v>
      </c>
      <c r="Q93">
        <f t="shared" ref="Q93:S93" si="12">P93*(1+$R$4)</f>
        <v>6.0500000000000007</v>
      </c>
      <c r="R93">
        <f t="shared" si="12"/>
        <v>6.6550000000000011</v>
      </c>
      <c r="S93">
        <f t="shared" si="12"/>
        <v>7.3205000000000018</v>
      </c>
    </row>
    <row r="94" spans="2:19" x14ac:dyDescent="0.25">
      <c r="K94" s="44" t="s">
        <v>69</v>
      </c>
      <c r="L94" t="s">
        <v>60</v>
      </c>
      <c r="O94">
        <v>4</v>
      </c>
      <c r="P94">
        <v>1</v>
      </c>
      <c r="Q94">
        <v>1</v>
      </c>
      <c r="R94">
        <v>1</v>
      </c>
      <c r="S94">
        <v>1</v>
      </c>
    </row>
    <row r="95" spans="2:19" x14ac:dyDescent="0.25">
      <c r="K95" s="44" t="s">
        <v>70</v>
      </c>
      <c r="L95" s="35" t="s">
        <v>9</v>
      </c>
      <c r="M95" s="35"/>
      <c r="N95" s="35"/>
      <c r="O95" s="35">
        <f>M33</f>
        <v>4.2</v>
      </c>
      <c r="P95" s="35">
        <f t="shared" ref="P95:S95" si="13">N33</f>
        <v>3.24</v>
      </c>
      <c r="Q95" s="35">
        <f t="shared" si="13"/>
        <v>2.6639999999999997</v>
      </c>
      <c r="R95" s="35">
        <f t="shared" si="13"/>
        <v>2.448</v>
      </c>
      <c r="S95" s="35">
        <f t="shared" si="13"/>
        <v>2.448</v>
      </c>
    </row>
    <row r="96" spans="2:19" x14ac:dyDescent="0.25">
      <c r="K96" s="44" t="s">
        <v>71</v>
      </c>
      <c r="L96" s="41" t="s">
        <v>62</v>
      </c>
      <c r="O96">
        <f>O91-O92-O93-O94-O95</f>
        <v>-15.720000000000002</v>
      </c>
      <c r="P96">
        <f t="shared" ref="P96:S96" si="14">P91-P92-P93-P94-P95</f>
        <v>16.660000000000004</v>
      </c>
      <c r="Q96">
        <f t="shared" si="14"/>
        <v>19.326000000000008</v>
      </c>
      <c r="R96">
        <f t="shared" si="14"/>
        <v>21.841000000000008</v>
      </c>
      <c r="S96">
        <f t="shared" si="14"/>
        <v>24.369900000000023</v>
      </c>
    </row>
    <row r="97" spans="11:19" x14ac:dyDescent="0.25">
      <c r="K97" s="44" t="s">
        <v>72</v>
      </c>
      <c r="L97" s="43" t="s">
        <v>63</v>
      </c>
      <c r="M97" s="35"/>
      <c r="N97" s="35"/>
      <c r="O97" s="35">
        <f>IF(O96&gt;0,O96*$R$7, 0)</f>
        <v>0</v>
      </c>
      <c r="P97" s="35">
        <f t="shared" ref="P97:S97" si="15">IF(P96&gt;0,P96*$R$7, 0)</f>
        <v>4.9980000000000011</v>
      </c>
      <c r="Q97" s="35">
        <f t="shared" si="15"/>
        <v>5.7978000000000023</v>
      </c>
      <c r="R97" s="35">
        <f t="shared" si="15"/>
        <v>6.5523000000000025</v>
      </c>
      <c r="S97" s="35">
        <f t="shared" si="15"/>
        <v>7.3109700000000064</v>
      </c>
    </row>
    <row r="98" spans="11:19" x14ac:dyDescent="0.25">
      <c r="K98" s="44" t="s">
        <v>73</v>
      </c>
      <c r="L98" s="41" t="s">
        <v>65</v>
      </c>
      <c r="O98">
        <f>O96-O97</f>
        <v>-15.720000000000002</v>
      </c>
      <c r="P98">
        <f t="shared" ref="P98:S98" si="16">P96-P97</f>
        <v>11.662000000000003</v>
      </c>
      <c r="Q98">
        <f t="shared" si="16"/>
        <v>13.528200000000005</v>
      </c>
      <c r="R98">
        <f t="shared" si="16"/>
        <v>15.288700000000006</v>
      </c>
      <c r="S98">
        <f t="shared" si="16"/>
        <v>17.058930000000018</v>
      </c>
    </row>
    <row r="99" spans="11:19" x14ac:dyDescent="0.25">
      <c r="K99" s="44" t="s">
        <v>74</v>
      </c>
      <c r="L99" s="41" t="s">
        <v>17</v>
      </c>
      <c r="S99">
        <f>R33</f>
        <v>25</v>
      </c>
    </row>
    <row r="100" spans="11:19" x14ac:dyDescent="0.25">
      <c r="K100" s="44" t="s">
        <v>75</v>
      </c>
      <c r="L100" s="41" t="s">
        <v>66</v>
      </c>
      <c r="N100" s="36">
        <f>N43</f>
        <v>1.7250000000000001</v>
      </c>
      <c r="O100" s="36">
        <f t="shared" ref="O100:R100" si="17">O43</f>
        <v>2.0700000000000007</v>
      </c>
      <c r="P100" s="36">
        <f t="shared" si="17"/>
        <v>0.37950000000000006</v>
      </c>
      <c r="Q100" s="36">
        <f t="shared" si="17"/>
        <v>0.41745000000000076</v>
      </c>
      <c r="R100" s="36">
        <f t="shared" si="17"/>
        <v>0.45919500000000191</v>
      </c>
    </row>
    <row r="101" spans="11:19" x14ac:dyDescent="0.25">
      <c r="K101" s="44" t="s">
        <v>76</v>
      </c>
      <c r="L101" s="43" t="s">
        <v>67</v>
      </c>
      <c r="M101" s="35"/>
      <c r="N101" s="35"/>
      <c r="O101" s="35"/>
      <c r="P101" s="35"/>
      <c r="Q101" s="35"/>
      <c r="R101" s="35"/>
      <c r="S101" s="35"/>
    </row>
    <row r="102" spans="11:19" x14ac:dyDescent="0.25">
      <c r="K102" s="4"/>
      <c r="L102" s="41" t="s">
        <v>68</v>
      </c>
      <c r="N102" s="36">
        <f>N98+N99-N100+N101+N95-N90</f>
        <v>-21.725000000000001</v>
      </c>
      <c r="O102" s="36">
        <f t="shared" ref="O102:S102" si="18">O98+O99-O100+O101+O95-O90</f>
        <v>-33.590000000000003</v>
      </c>
      <c r="P102" s="36">
        <f t="shared" si="18"/>
        <v>14.522500000000003</v>
      </c>
      <c r="Q102" s="36">
        <f t="shared" si="18"/>
        <v>15.774750000000004</v>
      </c>
      <c r="R102" s="36">
        <f t="shared" si="18"/>
        <v>17.277505000000005</v>
      </c>
      <c r="S102" s="36">
        <f t="shared" si="18"/>
        <v>44.506930000000018</v>
      </c>
    </row>
  </sheetData>
  <mergeCells count="3">
    <mergeCell ref="C3:C4"/>
    <mergeCell ref="D3:D4"/>
    <mergeCell ref="E3:F3"/>
  </mergeCells>
  <pageMargins left="0.7" right="0.7" top="0.75" bottom="0.75" header="0.3" footer="0.3"/>
  <pageSetup paperSize="9" orientation="portrait" horizontalDpi="0" verticalDpi="0" r:id="rId1"/>
  <ignoredErrors>
    <ignoredError sqref="K39:K41 K90:K93 K94:K10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104"/>
  <sheetViews>
    <sheetView tabSelected="1" topLeftCell="A85" zoomScale="80" zoomScaleNormal="80" workbookViewId="0">
      <selection activeCell="B101" sqref="B101"/>
    </sheetView>
  </sheetViews>
  <sheetFormatPr baseColWidth="10" defaultRowHeight="15" x14ac:dyDescent="0.25"/>
  <cols>
    <col min="2" max="2" width="13.7109375" customWidth="1"/>
    <col min="3" max="3" width="13" customWidth="1"/>
    <col min="4" max="4" width="12.28515625" customWidth="1"/>
    <col min="6" max="6" width="12.42578125" customWidth="1"/>
    <col min="7" max="7" width="10.42578125" customWidth="1"/>
    <col min="8" max="8" width="11.28515625" customWidth="1"/>
    <col min="9" max="9" width="13" customWidth="1"/>
    <col min="10" max="10" width="17.5703125" customWidth="1"/>
    <col min="12" max="12" width="22" customWidth="1"/>
    <col min="13" max="13" width="15" customWidth="1"/>
    <col min="15" max="15" width="14.28515625" customWidth="1"/>
  </cols>
  <sheetData>
    <row r="2" spans="1:18" ht="45" x14ac:dyDescent="0.25">
      <c r="A2" s="12" t="s">
        <v>19</v>
      </c>
      <c r="B2" s="13">
        <v>5</v>
      </c>
      <c r="C2" s="1"/>
      <c r="D2" s="1"/>
      <c r="E2" s="1"/>
      <c r="F2" s="1"/>
      <c r="G2" s="1"/>
      <c r="H2" s="1"/>
      <c r="I2" s="1"/>
      <c r="J2" t="s">
        <v>34</v>
      </c>
      <c r="K2" s="32">
        <v>0.1</v>
      </c>
      <c r="N2" t="s">
        <v>61</v>
      </c>
      <c r="O2">
        <v>5000000</v>
      </c>
    </row>
    <row r="3" spans="1:18" x14ac:dyDescent="0.25">
      <c r="C3" s="30">
        <v>0</v>
      </c>
      <c r="D3" s="30">
        <v>1</v>
      </c>
      <c r="E3" s="30">
        <v>2</v>
      </c>
      <c r="F3" s="30">
        <v>3</v>
      </c>
      <c r="G3" s="30">
        <v>4</v>
      </c>
      <c r="J3" t="s">
        <v>81</v>
      </c>
      <c r="K3" s="2">
        <v>80</v>
      </c>
      <c r="N3" t="s">
        <v>64</v>
      </c>
      <c r="O3" s="42">
        <v>0.3</v>
      </c>
    </row>
    <row r="4" spans="1:18" ht="15.75" x14ac:dyDescent="0.25">
      <c r="A4" s="9" t="s">
        <v>32</v>
      </c>
      <c r="C4" s="45">
        <v>30000</v>
      </c>
      <c r="D4" s="45">
        <f t="shared" ref="D4:G6" si="0">C4*(1+$K$2)</f>
        <v>33000</v>
      </c>
      <c r="E4" s="45">
        <f t="shared" si="0"/>
        <v>36300</v>
      </c>
      <c r="F4" s="45">
        <f t="shared" si="0"/>
        <v>39930</v>
      </c>
      <c r="G4" s="45">
        <f t="shared" si="0"/>
        <v>43923</v>
      </c>
      <c r="J4" t="s">
        <v>77</v>
      </c>
      <c r="K4" s="33">
        <v>55</v>
      </c>
      <c r="M4" s="24"/>
      <c r="N4" t="s">
        <v>58</v>
      </c>
      <c r="O4">
        <v>10</v>
      </c>
      <c r="P4" t="s">
        <v>78</v>
      </c>
    </row>
    <row r="5" spans="1:18" x14ac:dyDescent="0.25">
      <c r="A5" s="2" t="s">
        <v>35</v>
      </c>
      <c r="C5" s="51">
        <f>K3</f>
        <v>80</v>
      </c>
      <c r="D5" s="26">
        <f t="shared" si="0"/>
        <v>88</v>
      </c>
      <c r="E5" s="26">
        <f t="shared" si="0"/>
        <v>96.800000000000011</v>
      </c>
      <c r="F5" s="26">
        <f t="shared" si="0"/>
        <v>106.48000000000002</v>
      </c>
      <c r="G5" s="26">
        <f t="shared" si="0"/>
        <v>117.12800000000003</v>
      </c>
      <c r="H5" t="s">
        <v>99</v>
      </c>
      <c r="M5" s="21"/>
      <c r="Q5" s="19"/>
      <c r="R5" s="19"/>
    </row>
    <row r="6" spans="1:18" x14ac:dyDescent="0.25">
      <c r="A6" s="2" t="s">
        <v>38</v>
      </c>
      <c r="C6" s="26">
        <v>58</v>
      </c>
      <c r="D6" s="26">
        <f>C6*(1+$K$2)</f>
        <v>63.800000000000004</v>
      </c>
      <c r="E6" s="26">
        <f t="shared" si="0"/>
        <v>70.180000000000007</v>
      </c>
      <c r="F6" s="26">
        <f t="shared" si="0"/>
        <v>77.198000000000008</v>
      </c>
      <c r="G6" s="26">
        <f t="shared" si="0"/>
        <v>84.917800000000014</v>
      </c>
      <c r="H6" t="s">
        <v>100</v>
      </c>
      <c r="J6" t="s">
        <v>82</v>
      </c>
      <c r="K6" t="s">
        <v>84</v>
      </c>
      <c r="L6">
        <v>60</v>
      </c>
      <c r="M6" t="s">
        <v>83</v>
      </c>
      <c r="N6">
        <v>1121413</v>
      </c>
      <c r="Q6" s="9"/>
      <c r="R6" s="9"/>
    </row>
    <row r="7" spans="1:18" x14ac:dyDescent="0.25">
      <c r="C7" s="2"/>
      <c r="D7" s="27"/>
      <c r="E7" s="2"/>
      <c r="F7" s="2"/>
      <c r="K7" t="s">
        <v>85</v>
      </c>
      <c r="L7">
        <v>30</v>
      </c>
      <c r="N7">
        <v>30030</v>
      </c>
    </row>
    <row r="8" spans="1:18" x14ac:dyDescent="0.25">
      <c r="K8" t="s">
        <v>48</v>
      </c>
      <c r="L8">
        <v>45</v>
      </c>
      <c r="N8">
        <f>N6/N7</f>
        <v>37.343090243090245</v>
      </c>
    </row>
    <row r="9" spans="1:18" x14ac:dyDescent="0.25">
      <c r="A9" s="34">
        <v>2</v>
      </c>
      <c r="B9" s="34" t="s">
        <v>29</v>
      </c>
      <c r="C9" s="34"/>
      <c r="E9">
        <v>1</v>
      </c>
      <c r="J9" s="2"/>
    </row>
    <row r="10" spans="1:18" x14ac:dyDescent="0.25">
      <c r="B10" s="2" t="s">
        <v>51</v>
      </c>
      <c r="C10" s="2"/>
      <c r="D10" s="2"/>
      <c r="E10" s="2"/>
      <c r="F10" s="2"/>
      <c r="G10" s="2"/>
      <c r="H10" s="2"/>
      <c r="I10" s="2"/>
    </row>
    <row r="11" spans="1:18" x14ac:dyDescent="0.25">
      <c r="B11" s="30" t="s">
        <v>30</v>
      </c>
      <c r="C11" s="2">
        <f>$C$4</f>
        <v>30000</v>
      </c>
      <c r="D11" s="3">
        <f>L6</f>
        <v>60</v>
      </c>
      <c r="E11" s="2">
        <f>$C$5</f>
        <v>80</v>
      </c>
      <c r="F11" s="30" t="s">
        <v>16</v>
      </c>
      <c r="G11" s="45">
        <f>C11*(D11/D12)*E11</f>
        <v>400000</v>
      </c>
      <c r="H11" s="2"/>
      <c r="I11" s="2"/>
      <c r="J11" s="45">
        <f>G11/$E$9</f>
        <v>400000</v>
      </c>
      <c r="K11" s="4"/>
    </row>
    <row r="12" spans="1:18" x14ac:dyDescent="0.25">
      <c r="B12" s="2"/>
      <c r="C12" s="2"/>
      <c r="D12" s="2">
        <v>360</v>
      </c>
      <c r="E12" s="2"/>
      <c r="F12" s="31"/>
      <c r="G12" s="45"/>
      <c r="H12" s="2"/>
      <c r="I12" s="2"/>
      <c r="J12" s="45"/>
      <c r="K12" s="4"/>
    </row>
    <row r="13" spans="1:18" x14ac:dyDescent="0.25">
      <c r="B13" s="2"/>
      <c r="C13" s="2"/>
      <c r="D13" s="2"/>
      <c r="E13" s="2"/>
      <c r="F13" s="31"/>
      <c r="G13" s="45"/>
      <c r="H13" s="2"/>
      <c r="I13" s="2"/>
      <c r="J13" s="45"/>
      <c r="K13" s="4"/>
    </row>
    <row r="14" spans="1:18" x14ac:dyDescent="0.25">
      <c r="B14" s="30" t="s">
        <v>31</v>
      </c>
      <c r="C14" s="2">
        <f>$D$4</f>
        <v>33000</v>
      </c>
      <c r="D14" s="3">
        <f>L6</f>
        <v>60</v>
      </c>
      <c r="E14" s="2">
        <f>$D$5</f>
        <v>88</v>
      </c>
      <c r="F14" s="30" t="s">
        <v>1</v>
      </c>
      <c r="G14" s="45">
        <f>G11</f>
        <v>400000</v>
      </c>
      <c r="H14" s="30" t="s">
        <v>16</v>
      </c>
      <c r="I14" s="2">
        <f>C14*(D14/D15)*E14-G14</f>
        <v>84000</v>
      </c>
      <c r="J14" s="45">
        <f>I14/$E$9</f>
        <v>84000</v>
      </c>
      <c r="K14" s="4"/>
      <c r="O14" t="s">
        <v>101</v>
      </c>
    </row>
    <row r="15" spans="1:18" x14ac:dyDescent="0.25">
      <c r="B15" s="2"/>
      <c r="C15" s="2"/>
      <c r="D15" s="2">
        <v>360</v>
      </c>
      <c r="E15" s="2"/>
      <c r="F15" s="31"/>
      <c r="G15" s="45"/>
      <c r="H15" s="2"/>
      <c r="I15" s="2"/>
      <c r="J15" s="45"/>
      <c r="O15">
        <f>20/30</f>
        <v>0.66666666666666663</v>
      </c>
    </row>
    <row r="16" spans="1:18" x14ac:dyDescent="0.25">
      <c r="B16" s="2"/>
      <c r="C16" s="2"/>
      <c r="D16" s="2"/>
      <c r="E16" s="2"/>
      <c r="F16" s="2"/>
      <c r="G16" s="45"/>
      <c r="H16" s="2"/>
      <c r="I16" s="2"/>
      <c r="J16" s="45"/>
    </row>
    <row r="17" spans="2:12" x14ac:dyDescent="0.25">
      <c r="B17" s="30" t="s">
        <v>33</v>
      </c>
      <c r="C17" s="2">
        <f>$E$4</f>
        <v>36300</v>
      </c>
      <c r="D17" s="3">
        <f>L6</f>
        <v>60</v>
      </c>
      <c r="E17" s="2">
        <f>$E$5</f>
        <v>96.800000000000011</v>
      </c>
      <c r="F17" s="2" t="s">
        <v>1</v>
      </c>
      <c r="G17" s="45">
        <f>C14*D14/D15*E14</f>
        <v>484000</v>
      </c>
      <c r="H17" s="2" t="s">
        <v>16</v>
      </c>
      <c r="I17" s="2">
        <f>C17*D17/D18*E17-G17</f>
        <v>101640.00000000012</v>
      </c>
      <c r="J17" s="45">
        <f>I17/$E$9</f>
        <v>101640.00000000012</v>
      </c>
    </row>
    <row r="18" spans="2:12" x14ac:dyDescent="0.25">
      <c r="B18" s="2"/>
      <c r="C18" s="2"/>
      <c r="D18" s="2">
        <v>360</v>
      </c>
      <c r="E18" s="2"/>
      <c r="F18" s="2"/>
      <c r="G18" s="45"/>
      <c r="H18" s="2"/>
      <c r="I18" s="2"/>
      <c r="J18" s="45"/>
    </row>
    <row r="19" spans="2:12" x14ac:dyDescent="0.25">
      <c r="B19" s="2"/>
      <c r="C19" s="2"/>
      <c r="D19" s="2"/>
      <c r="E19" s="2"/>
      <c r="F19" s="2"/>
      <c r="G19" s="45"/>
      <c r="H19" s="2"/>
      <c r="I19" s="2"/>
      <c r="J19" s="45"/>
    </row>
    <row r="20" spans="2:12" x14ac:dyDescent="0.25">
      <c r="B20" s="30" t="s">
        <v>36</v>
      </c>
      <c r="C20" s="2">
        <f>$F$4</f>
        <v>39930</v>
      </c>
      <c r="D20" s="3">
        <f>L6</f>
        <v>60</v>
      </c>
      <c r="E20" s="2">
        <f>$F$5</f>
        <v>106.48000000000002</v>
      </c>
      <c r="F20" s="2" t="s">
        <v>1</v>
      </c>
      <c r="G20" s="45">
        <f>C17*D17/D18*E17</f>
        <v>585640.00000000012</v>
      </c>
      <c r="H20" s="2"/>
      <c r="I20" s="2">
        <f>C20*D20/D21*E20-G20</f>
        <v>122984.40000000002</v>
      </c>
      <c r="J20" s="45">
        <f>I20/$E$9</f>
        <v>122984.40000000002</v>
      </c>
    </row>
    <row r="21" spans="2:12" x14ac:dyDescent="0.25">
      <c r="B21" s="2"/>
      <c r="C21" s="2"/>
      <c r="D21" s="2">
        <v>360</v>
      </c>
      <c r="E21" s="2"/>
      <c r="F21" s="2"/>
      <c r="G21" s="45"/>
      <c r="H21" s="2"/>
      <c r="I21" s="2"/>
      <c r="J21" s="45"/>
    </row>
    <row r="22" spans="2:12" x14ac:dyDescent="0.25">
      <c r="B22" s="2"/>
      <c r="C22" s="2"/>
      <c r="D22" s="2"/>
      <c r="E22" s="2"/>
      <c r="F22" s="2"/>
      <c r="G22" s="45"/>
      <c r="H22" s="2"/>
      <c r="I22" s="2"/>
      <c r="J22" s="45"/>
    </row>
    <row r="23" spans="2:12" x14ac:dyDescent="0.25">
      <c r="B23" s="30" t="s">
        <v>37</v>
      </c>
      <c r="C23" s="2">
        <f>$G$4</f>
        <v>43923</v>
      </c>
      <c r="D23" s="3">
        <f>L6</f>
        <v>60</v>
      </c>
      <c r="E23" s="2">
        <f>$G$5</f>
        <v>117.12800000000003</v>
      </c>
      <c r="F23" s="2" t="s">
        <v>1</v>
      </c>
      <c r="G23" s="45">
        <f>C20*D20/D21*E20</f>
        <v>708624.40000000014</v>
      </c>
      <c r="H23" s="2"/>
      <c r="I23" s="2">
        <f>C23*D23/D24*E23-G23</f>
        <v>148811.12400000007</v>
      </c>
      <c r="J23" s="45">
        <f>I23/$E$9</f>
        <v>148811.12400000007</v>
      </c>
      <c r="K23" s="54" t="s">
        <v>86</v>
      </c>
      <c r="L23" s="55">
        <f>SUM(J11:J23)</f>
        <v>857435.52400000021</v>
      </c>
    </row>
    <row r="24" spans="2:12" x14ac:dyDescent="0.25">
      <c r="D24" s="2">
        <v>360</v>
      </c>
      <c r="G24" s="46"/>
      <c r="J24" s="46"/>
    </row>
    <row r="25" spans="2:12" x14ac:dyDescent="0.25">
      <c r="G25" s="46"/>
      <c r="J25" s="46"/>
    </row>
    <row r="26" spans="2:12" x14ac:dyDescent="0.25">
      <c r="B26" t="s">
        <v>47</v>
      </c>
      <c r="G26" s="46"/>
      <c r="J26" s="46"/>
    </row>
    <row r="27" spans="2:12" x14ac:dyDescent="0.25">
      <c r="B27" s="2"/>
      <c r="C27" s="2"/>
      <c r="D27" s="2"/>
      <c r="E27" s="2"/>
      <c r="F27" s="2"/>
      <c r="G27" s="45"/>
      <c r="H27" s="45"/>
      <c r="I27" s="45"/>
      <c r="J27" s="45"/>
    </row>
    <row r="28" spans="2:12" x14ac:dyDescent="0.25">
      <c r="B28" s="30" t="s">
        <v>30</v>
      </c>
      <c r="C28" s="2">
        <f>$C$4</f>
        <v>30000</v>
      </c>
      <c r="D28" s="3">
        <f>L7</f>
        <v>30</v>
      </c>
      <c r="E28" s="2">
        <f>C6</f>
        <v>58</v>
      </c>
      <c r="F28" s="30" t="s">
        <v>16</v>
      </c>
      <c r="G28" s="45">
        <f>C28*(D28/D29)*E28</f>
        <v>145000</v>
      </c>
      <c r="H28" s="45"/>
      <c r="I28" s="45"/>
      <c r="J28" s="45">
        <f>G28/$E$9</f>
        <v>145000</v>
      </c>
    </row>
    <row r="29" spans="2:12" x14ac:dyDescent="0.25">
      <c r="B29" s="2"/>
      <c r="C29" s="2"/>
      <c r="D29" s="2">
        <v>360</v>
      </c>
      <c r="E29" s="2"/>
      <c r="F29" s="31"/>
      <c r="G29" s="45"/>
      <c r="H29" s="45"/>
      <c r="I29" s="45"/>
      <c r="J29" s="45"/>
    </row>
    <row r="30" spans="2:12" x14ac:dyDescent="0.25">
      <c r="B30" s="2"/>
      <c r="C30" s="2"/>
      <c r="D30" s="2"/>
      <c r="E30" s="2"/>
      <c r="F30" s="31"/>
      <c r="G30" s="45"/>
      <c r="H30" s="45"/>
      <c r="I30" s="45"/>
      <c r="J30" s="45"/>
    </row>
    <row r="31" spans="2:12" x14ac:dyDescent="0.25">
      <c r="B31" s="30" t="s">
        <v>31</v>
      </c>
      <c r="C31" s="2">
        <f>$D$4</f>
        <v>33000</v>
      </c>
      <c r="D31" s="3">
        <f>L7</f>
        <v>30</v>
      </c>
      <c r="E31" s="2">
        <f>D6</f>
        <v>63.800000000000004</v>
      </c>
      <c r="F31" s="30" t="s">
        <v>1</v>
      </c>
      <c r="G31" s="45">
        <f>G28</f>
        <v>145000</v>
      </c>
      <c r="H31" s="47" t="s">
        <v>16</v>
      </c>
      <c r="I31" s="45">
        <f>C31*(D31/D32)*E31-G31</f>
        <v>30450</v>
      </c>
      <c r="J31" s="45">
        <f>I31/$E$9</f>
        <v>30450</v>
      </c>
    </row>
    <row r="32" spans="2:12" x14ac:dyDescent="0.25">
      <c r="B32" s="2"/>
      <c r="C32" s="2"/>
      <c r="D32" s="2">
        <v>360</v>
      </c>
      <c r="E32" s="2"/>
      <c r="F32" s="31"/>
      <c r="G32" s="45"/>
      <c r="H32" s="45"/>
      <c r="I32" s="45"/>
      <c r="J32" s="45"/>
    </row>
    <row r="33" spans="2:12" x14ac:dyDescent="0.25">
      <c r="B33" s="2"/>
      <c r="C33" s="2"/>
      <c r="D33" s="2"/>
      <c r="E33" s="2"/>
      <c r="F33" s="2"/>
      <c r="G33" s="45"/>
      <c r="H33" s="45"/>
      <c r="I33" s="45"/>
      <c r="J33" s="45"/>
    </row>
    <row r="34" spans="2:12" x14ac:dyDescent="0.25">
      <c r="B34" s="30" t="s">
        <v>33</v>
      </c>
      <c r="C34" s="2">
        <f>$E$4</f>
        <v>36300</v>
      </c>
      <c r="D34" s="3">
        <f>L7</f>
        <v>30</v>
      </c>
      <c r="E34" s="2">
        <f>E6</f>
        <v>70.180000000000007</v>
      </c>
      <c r="F34" s="2" t="s">
        <v>1</v>
      </c>
      <c r="G34" s="45">
        <f>C31*D31/D32*E31</f>
        <v>175450</v>
      </c>
      <c r="H34" s="45" t="s">
        <v>16</v>
      </c>
      <c r="I34" s="45">
        <f>C34*D34/D35*E34-G34</f>
        <v>36844.500000000029</v>
      </c>
      <c r="J34" s="45">
        <f>I34/$E$9</f>
        <v>36844.500000000029</v>
      </c>
    </row>
    <row r="35" spans="2:12" x14ac:dyDescent="0.25">
      <c r="B35" s="2"/>
      <c r="C35" s="2"/>
      <c r="D35" s="2">
        <v>360</v>
      </c>
      <c r="E35" s="2"/>
      <c r="F35" s="2"/>
      <c r="G35" s="45"/>
      <c r="H35" s="45"/>
      <c r="I35" s="45"/>
      <c r="J35" s="45"/>
    </row>
    <row r="36" spans="2:12" x14ac:dyDescent="0.25">
      <c r="B36" s="2"/>
      <c r="C36" s="2"/>
      <c r="D36" s="2"/>
      <c r="E36" s="2"/>
      <c r="F36" s="2"/>
      <c r="G36" s="45"/>
      <c r="H36" s="45"/>
      <c r="I36" s="45"/>
      <c r="J36" s="45"/>
    </row>
    <row r="37" spans="2:12" x14ac:dyDescent="0.25">
      <c r="B37" s="30" t="s">
        <v>36</v>
      </c>
      <c r="C37" s="2">
        <f>$F$4</f>
        <v>39930</v>
      </c>
      <c r="D37" s="3">
        <f>L7</f>
        <v>30</v>
      </c>
      <c r="E37" s="2">
        <f>F6</f>
        <v>77.198000000000008</v>
      </c>
      <c r="F37" s="2" t="s">
        <v>1</v>
      </c>
      <c r="G37" s="45">
        <f>C34*D34/D35*E34</f>
        <v>212294.50000000003</v>
      </c>
      <c r="H37" s="45" t="s">
        <v>16</v>
      </c>
      <c r="I37" s="45">
        <f>C37*D37/D38*E37-G37</f>
        <v>44581.845000000001</v>
      </c>
      <c r="J37" s="45">
        <f>I37/$E$9</f>
        <v>44581.845000000001</v>
      </c>
    </row>
    <row r="38" spans="2:12" x14ac:dyDescent="0.25">
      <c r="B38" s="2"/>
      <c r="C38" s="2"/>
      <c r="D38" s="2">
        <v>360</v>
      </c>
      <c r="E38" s="2"/>
      <c r="F38" s="2"/>
      <c r="G38" s="45"/>
      <c r="H38" s="45"/>
      <c r="I38" s="45"/>
      <c r="J38" s="45"/>
    </row>
    <row r="39" spans="2:12" x14ac:dyDescent="0.25">
      <c r="B39" s="2"/>
      <c r="C39" s="2"/>
      <c r="D39" s="2"/>
      <c r="E39" s="2"/>
      <c r="F39" s="2"/>
      <c r="G39" s="45"/>
      <c r="H39" s="45"/>
      <c r="I39" s="45"/>
      <c r="J39" s="45"/>
    </row>
    <row r="40" spans="2:12" x14ac:dyDescent="0.25">
      <c r="B40" s="30" t="s">
        <v>37</v>
      </c>
      <c r="C40" s="2">
        <f>$G$4</f>
        <v>43923</v>
      </c>
      <c r="D40" s="3">
        <f>L7</f>
        <v>30</v>
      </c>
      <c r="E40" s="2">
        <f>G6</f>
        <v>84.917800000000014</v>
      </c>
      <c r="F40" s="2" t="s">
        <v>1</v>
      </c>
      <c r="G40" s="45">
        <f>C37*D37/D38*E37</f>
        <v>256876.34500000003</v>
      </c>
      <c r="H40" s="45"/>
      <c r="I40" s="45">
        <f>C40*D40/D41*E40-G40</f>
        <v>53944.032449999999</v>
      </c>
      <c r="J40" s="45">
        <f>I40/$E$9</f>
        <v>53944.032449999999</v>
      </c>
      <c r="K40" s="54" t="s">
        <v>87</v>
      </c>
      <c r="L40" s="55">
        <f>SUM(J28:J40)</f>
        <v>310820.37745000003</v>
      </c>
    </row>
    <row r="41" spans="2:12" x14ac:dyDescent="0.25">
      <c r="D41" s="2">
        <v>360</v>
      </c>
      <c r="G41" s="46"/>
      <c r="H41" s="46"/>
      <c r="I41" s="46"/>
      <c r="J41" s="46"/>
    </row>
    <row r="42" spans="2:12" x14ac:dyDescent="0.25">
      <c r="G42" s="46"/>
      <c r="H42" s="46"/>
      <c r="I42" s="46"/>
      <c r="J42" s="46"/>
    </row>
    <row r="43" spans="2:12" x14ac:dyDescent="0.25">
      <c r="B43" t="s">
        <v>52</v>
      </c>
      <c r="G43" s="46"/>
      <c r="H43" s="46"/>
      <c r="I43" s="46"/>
      <c r="J43" s="46"/>
    </row>
    <row r="44" spans="2:12" x14ac:dyDescent="0.25">
      <c r="B44" t="s">
        <v>41</v>
      </c>
      <c r="G44" s="46"/>
      <c r="H44" s="46"/>
      <c r="I44" s="46"/>
      <c r="J44" s="46"/>
    </row>
    <row r="45" spans="2:12" x14ac:dyDescent="0.25">
      <c r="B45" s="30" t="s">
        <v>30</v>
      </c>
      <c r="C45" s="2">
        <f>$C$4</f>
        <v>30000</v>
      </c>
      <c r="D45" s="3">
        <f>L8</f>
        <v>45</v>
      </c>
      <c r="E45" s="2">
        <f>E28</f>
        <v>58</v>
      </c>
      <c r="F45" s="30" t="s">
        <v>16</v>
      </c>
      <c r="G45" s="45">
        <f>C45*(D45/D46)*E45</f>
        <v>217500</v>
      </c>
      <c r="H45" s="45"/>
      <c r="I45" s="45"/>
      <c r="J45" s="45">
        <f>G45/$E$9</f>
        <v>217500</v>
      </c>
    </row>
    <row r="46" spans="2:12" x14ac:dyDescent="0.25">
      <c r="B46" s="2"/>
      <c r="C46" s="2"/>
      <c r="D46" s="2">
        <v>360</v>
      </c>
      <c r="E46" s="2"/>
      <c r="F46" s="31"/>
      <c r="G46" s="45"/>
      <c r="H46" s="45"/>
      <c r="I46" s="45"/>
      <c r="J46" s="45"/>
    </row>
    <row r="47" spans="2:12" x14ac:dyDescent="0.25">
      <c r="B47" s="2"/>
      <c r="C47" s="2"/>
      <c r="D47" s="2"/>
      <c r="E47" s="2"/>
      <c r="F47" s="31"/>
      <c r="G47" s="45"/>
      <c r="H47" s="45"/>
      <c r="I47" s="45"/>
      <c r="J47" s="45"/>
    </row>
    <row r="48" spans="2:12" x14ac:dyDescent="0.25">
      <c r="B48" s="30" t="s">
        <v>31</v>
      </c>
      <c r="C48" s="2">
        <f>$D$4</f>
        <v>33000</v>
      </c>
      <c r="D48" s="3">
        <f>L8</f>
        <v>45</v>
      </c>
      <c r="E48" s="2">
        <f>E31</f>
        <v>63.800000000000004</v>
      </c>
      <c r="F48" s="30" t="s">
        <v>1</v>
      </c>
      <c r="G48" s="45">
        <f>G45</f>
        <v>217500</v>
      </c>
      <c r="H48" s="47" t="s">
        <v>16</v>
      </c>
      <c r="I48" s="45">
        <f>C48*(D48/D49)*E48-G48</f>
        <v>45675</v>
      </c>
      <c r="J48" s="45">
        <f>I48/$E$9</f>
        <v>45675</v>
      </c>
    </row>
    <row r="49" spans="2:12" x14ac:dyDescent="0.25">
      <c r="B49" s="2"/>
      <c r="C49" s="2"/>
      <c r="D49" s="2">
        <v>360</v>
      </c>
      <c r="E49" s="2"/>
      <c r="F49" s="31"/>
      <c r="G49" s="45"/>
      <c r="H49" s="45"/>
      <c r="I49" s="45"/>
      <c r="J49" s="45"/>
    </row>
    <row r="50" spans="2:12" x14ac:dyDescent="0.25">
      <c r="B50" s="2"/>
      <c r="C50" s="2"/>
      <c r="D50" s="2"/>
      <c r="E50" s="2"/>
      <c r="F50" s="2"/>
      <c r="G50" s="45"/>
      <c r="H50" s="45"/>
      <c r="I50" s="45"/>
      <c r="J50" s="45"/>
    </row>
    <row r="51" spans="2:12" x14ac:dyDescent="0.25">
      <c r="B51" s="30" t="s">
        <v>33</v>
      </c>
      <c r="C51" s="2">
        <f>$E$4</f>
        <v>36300</v>
      </c>
      <c r="D51" s="3">
        <f>L8</f>
        <v>45</v>
      </c>
      <c r="E51" s="2">
        <f>E34</f>
        <v>70.180000000000007</v>
      </c>
      <c r="F51" s="2" t="s">
        <v>1</v>
      </c>
      <c r="G51" s="45">
        <f>C48*D48/D49*E48</f>
        <v>263175</v>
      </c>
      <c r="H51" s="45" t="s">
        <v>16</v>
      </c>
      <c r="I51" s="45">
        <f>C51*D51/D52*E51-G51</f>
        <v>55266.750000000058</v>
      </c>
      <c r="J51" s="45">
        <f>I51/$E$9</f>
        <v>55266.750000000058</v>
      </c>
    </row>
    <row r="52" spans="2:12" x14ac:dyDescent="0.25">
      <c r="B52" s="2"/>
      <c r="C52" s="2"/>
      <c r="D52" s="2">
        <v>360</v>
      </c>
      <c r="E52" s="2"/>
      <c r="F52" s="2"/>
      <c r="G52" s="45"/>
      <c r="H52" s="45"/>
      <c r="I52" s="45"/>
      <c r="J52" s="45"/>
    </row>
    <row r="53" spans="2:12" x14ac:dyDescent="0.25">
      <c r="B53" s="2"/>
      <c r="C53" s="2"/>
      <c r="D53" s="2"/>
      <c r="E53" s="2"/>
      <c r="F53" s="2"/>
      <c r="G53" s="45"/>
      <c r="H53" s="45"/>
      <c r="I53" s="45"/>
      <c r="J53" s="45"/>
    </row>
    <row r="54" spans="2:12" x14ac:dyDescent="0.25">
      <c r="B54" s="30" t="s">
        <v>36</v>
      </c>
      <c r="C54" s="2">
        <f>$F$4</f>
        <v>39930</v>
      </c>
      <c r="D54" s="3">
        <f>L8</f>
        <v>45</v>
      </c>
      <c r="E54" s="2">
        <f>E37</f>
        <v>77.198000000000008</v>
      </c>
      <c r="F54" s="2" t="s">
        <v>1</v>
      </c>
      <c r="G54" s="45">
        <f>C51*D51/D52*E51</f>
        <v>318441.75000000006</v>
      </c>
      <c r="H54" s="45" t="s">
        <v>16</v>
      </c>
      <c r="I54" s="45">
        <f>C54*D54/D55*E54-G54</f>
        <v>66872.767499999958</v>
      </c>
      <c r="J54" s="45">
        <f>I54/$E$9</f>
        <v>66872.767499999958</v>
      </c>
    </row>
    <row r="55" spans="2:12" x14ac:dyDescent="0.25">
      <c r="B55" s="2"/>
      <c r="C55" s="2"/>
      <c r="D55" s="2">
        <v>360</v>
      </c>
      <c r="E55" s="2"/>
      <c r="F55" s="2"/>
      <c r="G55" s="45"/>
      <c r="H55" s="45"/>
      <c r="I55" s="45"/>
      <c r="J55" s="45"/>
    </row>
    <row r="56" spans="2:12" x14ac:dyDescent="0.25">
      <c r="B56" s="2"/>
      <c r="C56" s="2"/>
      <c r="D56" s="2"/>
      <c r="E56" s="2"/>
      <c r="F56" s="2"/>
      <c r="G56" s="45"/>
      <c r="H56" s="45"/>
      <c r="I56" s="45"/>
      <c r="J56" s="45"/>
    </row>
    <row r="57" spans="2:12" x14ac:dyDescent="0.25">
      <c r="B57" s="30" t="s">
        <v>37</v>
      </c>
      <c r="C57" s="2">
        <f>$G$4</f>
        <v>43923</v>
      </c>
      <c r="D57" s="3">
        <f>L8</f>
        <v>45</v>
      </c>
      <c r="E57" s="2">
        <f>E40</f>
        <v>84.917800000000014</v>
      </c>
      <c r="F57" s="2" t="s">
        <v>1</v>
      </c>
      <c r="G57" s="45">
        <f>C54*D54/D55*E54</f>
        <v>385314.51750000002</v>
      </c>
      <c r="H57" s="45"/>
      <c r="I57" s="45">
        <f>C57*D57/D58*E57-G57</f>
        <v>80916.048675000085</v>
      </c>
      <c r="J57" s="45">
        <f>I57/$E$9</f>
        <v>80916.048675000085</v>
      </c>
      <c r="K57" s="54" t="s">
        <v>88</v>
      </c>
      <c r="L57" s="55">
        <f>SUM(J45:J57)</f>
        <v>466230.5661750001</v>
      </c>
    </row>
    <row r="58" spans="2:12" x14ac:dyDescent="0.25">
      <c r="D58" s="2">
        <v>360</v>
      </c>
      <c r="G58" s="46"/>
      <c r="H58" s="46"/>
      <c r="I58" s="46"/>
      <c r="J58" s="46"/>
    </row>
    <row r="59" spans="2:12" x14ac:dyDescent="0.25">
      <c r="J59" s="46"/>
    </row>
    <row r="60" spans="2:12" x14ac:dyDescent="0.25">
      <c r="J60" s="46"/>
    </row>
    <row r="61" spans="2:12" x14ac:dyDescent="0.25">
      <c r="B61" s="58"/>
      <c r="C61" s="58"/>
      <c r="D61" s="59">
        <v>0</v>
      </c>
      <c r="E61" s="59">
        <v>1</v>
      </c>
      <c r="F61" s="59">
        <v>2</v>
      </c>
      <c r="G61" s="59">
        <v>3</v>
      </c>
      <c r="H61" s="59">
        <v>4</v>
      </c>
      <c r="J61" s="46"/>
    </row>
    <row r="62" spans="2:12" x14ac:dyDescent="0.25">
      <c r="B62" t="s">
        <v>43</v>
      </c>
      <c r="D62" s="48">
        <f>J11</f>
        <v>400000</v>
      </c>
      <c r="E62" s="48">
        <f>J14</f>
        <v>84000</v>
      </c>
      <c r="F62" s="48">
        <f>J17</f>
        <v>101640.00000000012</v>
      </c>
      <c r="G62" s="48">
        <f>J20</f>
        <v>122984.40000000002</v>
      </c>
      <c r="H62" s="48">
        <f>J23</f>
        <v>148811.12400000007</v>
      </c>
      <c r="J62" s="46"/>
    </row>
    <row r="63" spans="2:12" x14ac:dyDescent="0.25">
      <c r="B63" t="s">
        <v>49</v>
      </c>
      <c r="D63" s="49">
        <f>J28</f>
        <v>145000</v>
      </c>
      <c r="E63" s="49">
        <f>J31</f>
        <v>30450</v>
      </c>
      <c r="F63" s="49">
        <f>J34</f>
        <v>36844.500000000029</v>
      </c>
      <c r="G63" s="49">
        <f>J37</f>
        <v>44581.845000000001</v>
      </c>
      <c r="H63" s="49">
        <f>J40</f>
        <v>53944.032449999999</v>
      </c>
      <c r="J63" s="46"/>
    </row>
    <row r="64" spans="2:12" x14ac:dyDescent="0.25">
      <c r="B64" t="s">
        <v>48</v>
      </c>
      <c r="D64" s="50">
        <f>J45</f>
        <v>217500</v>
      </c>
      <c r="E64" s="50">
        <f>J48</f>
        <v>45675</v>
      </c>
      <c r="F64" s="50">
        <f>J51</f>
        <v>55266.750000000058</v>
      </c>
      <c r="G64" s="50">
        <f>J54</f>
        <v>66872.767499999958</v>
      </c>
      <c r="H64" s="50">
        <f>J57</f>
        <v>80916.048675000085</v>
      </c>
      <c r="J64" s="46"/>
    </row>
    <row r="65" spans="2:12" x14ac:dyDescent="0.25">
      <c r="D65" s="48"/>
      <c r="E65" s="48"/>
      <c r="F65" s="48"/>
      <c r="G65" s="48"/>
      <c r="H65" s="48"/>
      <c r="I65" s="30" t="s">
        <v>89</v>
      </c>
      <c r="J65" s="46"/>
    </row>
    <row r="66" spans="2:12" x14ac:dyDescent="0.25">
      <c r="B66" s="34" t="s">
        <v>50</v>
      </c>
      <c r="C66" s="34"/>
      <c r="D66" s="52">
        <f>D62+D63-D64</f>
        <v>327500</v>
      </c>
      <c r="E66" s="52">
        <f t="shared" ref="E66:H66" si="1">E62+E63-E64</f>
        <v>68775</v>
      </c>
      <c r="F66" s="52">
        <f t="shared" si="1"/>
        <v>83217.750000000087</v>
      </c>
      <c r="G66" s="52">
        <f t="shared" si="1"/>
        <v>100693.47750000007</v>
      </c>
      <c r="H66" s="52">
        <f t="shared" si="1"/>
        <v>121839.10777499998</v>
      </c>
      <c r="I66" s="53">
        <f>L23+L40-L57</f>
        <v>702025.33527500019</v>
      </c>
      <c r="J66" s="46"/>
    </row>
    <row r="67" spans="2:12" x14ac:dyDescent="0.25">
      <c r="B67" t="s">
        <v>53</v>
      </c>
      <c r="D67" s="20">
        <f t="shared" ref="D67:H68" si="2">C5</f>
        <v>80</v>
      </c>
      <c r="E67" s="20">
        <f t="shared" si="2"/>
        <v>88</v>
      </c>
      <c r="F67" s="20">
        <f t="shared" si="2"/>
        <v>96.800000000000011</v>
      </c>
      <c r="G67" s="20">
        <f t="shared" si="2"/>
        <v>106.48000000000002</v>
      </c>
      <c r="H67" s="20">
        <f t="shared" si="2"/>
        <v>117.12800000000003</v>
      </c>
      <c r="J67" s="46"/>
    </row>
    <row r="68" spans="2:12" x14ac:dyDescent="0.25">
      <c r="B68" t="s">
        <v>54</v>
      </c>
      <c r="D68" s="20">
        <f t="shared" si="2"/>
        <v>58</v>
      </c>
      <c r="E68" s="20">
        <f t="shared" si="2"/>
        <v>63.800000000000004</v>
      </c>
      <c r="F68" s="20">
        <f t="shared" si="2"/>
        <v>70.180000000000007</v>
      </c>
      <c r="G68" s="20">
        <f t="shared" si="2"/>
        <v>77.198000000000008</v>
      </c>
      <c r="H68" s="20">
        <f t="shared" si="2"/>
        <v>84.917800000000014</v>
      </c>
      <c r="J68" s="46"/>
    </row>
    <row r="69" spans="2:12" x14ac:dyDescent="0.25">
      <c r="J69" s="46"/>
    </row>
    <row r="70" spans="2:12" x14ac:dyDescent="0.25">
      <c r="J70" s="46"/>
    </row>
    <row r="71" spans="2:12" x14ac:dyDescent="0.25">
      <c r="C71" s="30">
        <v>0</v>
      </c>
      <c r="D71" s="30">
        <v>1</v>
      </c>
      <c r="E71" s="30">
        <v>2</v>
      </c>
      <c r="F71" s="30">
        <v>3</v>
      </c>
      <c r="G71" s="30">
        <v>4</v>
      </c>
      <c r="J71" s="46"/>
    </row>
    <row r="72" spans="2:12" x14ac:dyDescent="0.25">
      <c r="B72" s="9" t="s">
        <v>32</v>
      </c>
      <c r="C72" s="2">
        <v>30030</v>
      </c>
      <c r="D72" s="45">
        <f>C72*(1+$K$2)</f>
        <v>33033</v>
      </c>
      <c r="E72" s="45">
        <f>D72*(1+$K$2)</f>
        <v>36336.300000000003</v>
      </c>
      <c r="F72" s="45">
        <f>E72*(1+$K$2)</f>
        <v>39969.930000000008</v>
      </c>
      <c r="G72" s="45">
        <f>F72*(1+$K$2)</f>
        <v>43966.92300000001</v>
      </c>
      <c r="J72" s="46"/>
    </row>
    <row r="73" spans="2:12" x14ac:dyDescent="0.25">
      <c r="B73" s="2" t="s">
        <v>35</v>
      </c>
      <c r="C73" s="51">
        <f t="shared" ref="C73:G74" si="3">C5</f>
        <v>80</v>
      </c>
      <c r="D73" s="51">
        <f t="shared" si="3"/>
        <v>88</v>
      </c>
      <c r="E73" s="51">
        <f t="shared" si="3"/>
        <v>96.800000000000011</v>
      </c>
      <c r="F73" s="51">
        <f t="shared" si="3"/>
        <v>106.48000000000002</v>
      </c>
      <c r="G73" s="51">
        <f t="shared" si="3"/>
        <v>117.12800000000003</v>
      </c>
      <c r="J73" s="46"/>
    </row>
    <row r="74" spans="2:12" x14ac:dyDescent="0.25">
      <c r="B74" s="2" t="s">
        <v>38</v>
      </c>
      <c r="C74" s="26">
        <f t="shared" si="3"/>
        <v>58</v>
      </c>
      <c r="D74" s="26">
        <f t="shared" si="3"/>
        <v>63.800000000000004</v>
      </c>
      <c r="E74" s="26">
        <f t="shared" si="3"/>
        <v>70.180000000000007</v>
      </c>
      <c r="F74" s="26">
        <f t="shared" si="3"/>
        <v>77.198000000000008</v>
      </c>
      <c r="G74" s="26">
        <f t="shared" si="3"/>
        <v>84.917800000000014</v>
      </c>
    </row>
    <row r="77" spans="2:12" x14ac:dyDescent="0.25">
      <c r="B77">
        <v>1</v>
      </c>
    </row>
    <row r="80" spans="2:12" x14ac:dyDescent="0.25">
      <c r="B80" s="60" t="s">
        <v>55</v>
      </c>
      <c r="C80" s="58"/>
      <c r="D80" s="59"/>
      <c r="E80" s="59">
        <v>1</v>
      </c>
      <c r="F80" s="59">
        <v>2</v>
      </c>
      <c r="G80" s="59">
        <v>3</v>
      </c>
      <c r="H80" s="59">
        <v>4</v>
      </c>
      <c r="I80" s="59">
        <v>5</v>
      </c>
      <c r="L80" s="34" t="s">
        <v>94</v>
      </c>
    </row>
    <row r="81" spans="1:15" x14ac:dyDescent="0.25">
      <c r="A81" s="44"/>
      <c r="B81" s="65" t="s">
        <v>57</v>
      </c>
      <c r="C81" s="65"/>
      <c r="D81" s="65"/>
      <c r="E81" s="49">
        <f>C72*C73</f>
        <v>2402400</v>
      </c>
      <c r="F81" s="49">
        <f t="shared" ref="F81:I81" si="4">D72*D73</f>
        <v>2906904</v>
      </c>
      <c r="G81" s="49">
        <f t="shared" si="4"/>
        <v>3517353.8400000008</v>
      </c>
      <c r="H81" s="49">
        <f t="shared" si="4"/>
        <v>4255998.1464000018</v>
      </c>
      <c r="I81" s="49">
        <f t="shared" si="4"/>
        <v>5149757.7571440022</v>
      </c>
      <c r="N81" s="57">
        <v>0.1</v>
      </c>
    </row>
    <row r="82" spans="1:15" x14ac:dyDescent="0.25">
      <c r="A82" s="44"/>
      <c r="B82" s="66" t="s">
        <v>58</v>
      </c>
      <c r="C82" s="66"/>
      <c r="D82" s="66"/>
      <c r="E82" s="49">
        <f>-C72*C74</f>
        <v>-1741740</v>
      </c>
      <c r="F82" s="49">
        <f t="shared" ref="F82:I82" si="5">-D72*D74</f>
        <v>-2107505.4000000004</v>
      </c>
      <c r="G82" s="49">
        <f t="shared" si="5"/>
        <v>-2550081.5340000005</v>
      </c>
      <c r="H82" s="49">
        <f t="shared" si="5"/>
        <v>-3085598.656140001</v>
      </c>
      <c r="I82" s="49">
        <f t="shared" si="5"/>
        <v>-3733574.3739294014</v>
      </c>
      <c r="M82" s="2"/>
      <c r="N82" s="30" t="s">
        <v>96</v>
      </c>
      <c r="O82" s="30" t="s">
        <v>91</v>
      </c>
    </row>
    <row r="83" spans="1:15" x14ac:dyDescent="0.25">
      <c r="A83" s="44"/>
      <c r="B83" s="66" t="s">
        <v>59</v>
      </c>
      <c r="C83" s="66"/>
      <c r="D83" s="66"/>
      <c r="E83" s="49">
        <v>-180000</v>
      </c>
      <c r="F83" s="49">
        <f>E83*(1+$K$2)</f>
        <v>-198000.00000000003</v>
      </c>
      <c r="G83" s="49">
        <f>F83*(1+$K$2)</f>
        <v>-217800.00000000006</v>
      </c>
      <c r="H83" s="49">
        <f>G83*(1+$K$2)</f>
        <v>-239580.00000000009</v>
      </c>
      <c r="I83" s="49">
        <f>H83*(1+$K$2)</f>
        <v>-263538.00000000012</v>
      </c>
      <c r="L83" s="34" t="s">
        <v>95</v>
      </c>
      <c r="M83" s="45">
        <v>120000</v>
      </c>
      <c r="N83" s="45">
        <f>M83*N81</f>
        <v>12000</v>
      </c>
      <c r="O83" s="45">
        <f>(M83-N83)/5</f>
        <v>21600</v>
      </c>
    </row>
    <row r="84" spans="1:15" x14ac:dyDescent="0.25">
      <c r="A84" s="44"/>
      <c r="B84" s="66" t="s">
        <v>93</v>
      </c>
      <c r="C84" s="66"/>
      <c r="D84" s="66"/>
      <c r="E84" s="49">
        <v>-17000</v>
      </c>
      <c r="F84" s="49">
        <v>-17000</v>
      </c>
      <c r="G84" s="49">
        <v>-17000</v>
      </c>
      <c r="H84" s="49">
        <v>-17000</v>
      </c>
      <c r="I84" s="49">
        <v>-17000</v>
      </c>
      <c r="L84" s="34" t="s">
        <v>97</v>
      </c>
      <c r="M84" s="45">
        <v>150000</v>
      </c>
      <c r="N84" s="45">
        <f>M84-O84*5</f>
        <v>112500</v>
      </c>
      <c r="O84" s="45">
        <f>M84/20</f>
        <v>7500</v>
      </c>
    </row>
    <row r="85" spans="1:15" x14ac:dyDescent="0.25">
      <c r="A85" s="44"/>
      <c r="B85" s="67" t="s">
        <v>9</v>
      </c>
      <c r="C85" s="67"/>
      <c r="D85" s="67"/>
      <c r="E85" s="50">
        <f>-($O$83+$O$84)</f>
        <v>-29100</v>
      </c>
      <c r="F85" s="50">
        <f>E85*(1+10%)</f>
        <v>-32010.000000000004</v>
      </c>
      <c r="G85" s="50">
        <f t="shared" ref="G85:I85" si="6">F85*(1+10%)</f>
        <v>-35211.000000000007</v>
      </c>
      <c r="H85" s="50">
        <f t="shared" si="6"/>
        <v>-38732.100000000013</v>
      </c>
      <c r="I85" s="50">
        <f t="shared" si="6"/>
        <v>-42605.310000000019</v>
      </c>
      <c r="L85" s="34" t="s">
        <v>98</v>
      </c>
      <c r="M85" s="45">
        <v>500000</v>
      </c>
      <c r="N85" s="2"/>
      <c r="O85" s="2"/>
    </row>
    <row r="86" spans="1:15" x14ac:dyDescent="0.25">
      <c r="A86" s="44"/>
      <c r="B86" s="64" t="s">
        <v>62</v>
      </c>
      <c r="C86" s="64"/>
      <c r="D86" s="64"/>
      <c r="E86" s="49">
        <f>E81+E82+E83+E84+E85</f>
        <v>434560</v>
      </c>
      <c r="F86" s="49">
        <f t="shared" ref="F86:I86" si="7">F81+F82+F83+F84+F85</f>
        <v>552388.59999999963</v>
      </c>
      <c r="G86" s="49">
        <f t="shared" si="7"/>
        <v>697261.30600000033</v>
      </c>
      <c r="H86" s="49">
        <f t="shared" si="7"/>
        <v>875087.39026000071</v>
      </c>
      <c r="I86" s="49">
        <f t="shared" si="7"/>
        <v>1093040.0732146008</v>
      </c>
      <c r="M86" s="45">
        <f>SUM(M83:M85)</f>
        <v>770000</v>
      </c>
      <c r="N86" s="2"/>
      <c r="O86" s="2"/>
    </row>
    <row r="87" spans="1:15" x14ac:dyDescent="0.25">
      <c r="A87" s="44"/>
      <c r="B87" s="63" t="s">
        <v>63</v>
      </c>
      <c r="C87" s="63"/>
      <c r="D87" s="63"/>
      <c r="E87" s="50">
        <f>-IF(E86&gt;0,E86*$O$3, 0)</f>
        <v>-130368</v>
      </c>
      <c r="F87" s="50">
        <f t="shared" ref="F87:I87" si="8">-IF(F86&gt;0,F86*$O$3, 0)</f>
        <v>-165716.57999999987</v>
      </c>
      <c r="G87" s="50">
        <f t="shared" si="8"/>
        <v>-209178.3918000001</v>
      </c>
      <c r="H87" s="50">
        <f t="shared" si="8"/>
        <v>-262526.21707800019</v>
      </c>
      <c r="I87" s="50">
        <f t="shared" si="8"/>
        <v>-327912.02196438023</v>
      </c>
    </row>
    <row r="88" spans="1:15" x14ac:dyDescent="0.25">
      <c r="A88" s="44"/>
      <c r="B88" s="64" t="s">
        <v>90</v>
      </c>
      <c r="C88" s="64"/>
      <c r="D88" s="64"/>
      <c r="E88" s="49">
        <f>E86+E87</f>
        <v>304192</v>
      </c>
      <c r="F88" s="49">
        <f t="shared" ref="F88:I88" si="9">F86+F87</f>
        <v>386672.01999999979</v>
      </c>
      <c r="G88" s="49">
        <f t="shared" si="9"/>
        <v>488082.91420000023</v>
      </c>
      <c r="H88" s="49">
        <f t="shared" si="9"/>
        <v>612561.17318200052</v>
      </c>
      <c r="I88" s="49">
        <f t="shared" si="9"/>
        <v>765128.05125022051</v>
      </c>
    </row>
    <row r="91" spans="1:15" x14ac:dyDescent="0.25">
      <c r="B91" s="60" t="s">
        <v>55</v>
      </c>
      <c r="C91" s="58"/>
      <c r="D91" s="59">
        <v>0</v>
      </c>
      <c r="E91" s="59">
        <v>1</v>
      </c>
      <c r="F91" s="59">
        <v>2</v>
      </c>
      <c r="G91" s="59">
        <v>3</v>
      </c>
      <c r="H91" s="59">
        <v>4</v>
      </c>
      <c r="I91" s="59">
        <v>5</v>
      </c>
    </row>
    <row r="92" spans="1:15" x14ac:dyDescent="0.25">
      <c r="B92" t="s">
        <v>90</v>
      </c>
      <c r="E92" s="49">
        <f>E88</f>
        <v>304192</v>
      </c>
      <c r="F92" s="49">
        <f t="shared" ref="F92:I92" si="10">F88</f>
        <v>386672.01999999979</v>
      </c>
      <c r="G92" s="49">
        <f t="shared" si="10"/>
        <v>488082.91420000023</v>
      </c>
      <c r="H92" s="49">
        <f t="shared" si="10"/>
        <v>612561.17318200052</v>
      </c>
      <c r="I92" s="49">
        <f t="shared" si="10"/>
        <v>765128.05125022051</v>
      </c>
    </row>
    <row r="93" spans="1:15" x14ac:dyDescent="0.25">
      <c r="A93" s="44"/>
      <c r="B93" t="s">
        <v>92</v>
      </c>
      <c r="D93" s="49">
        <f>-M86</f>
        <v>-770000</v>
      </c>
      <c r="F93" s="49"/>
      <c r="G93" s="49"/>
      <c r="H93" s="49"/>
      <c r="I93" s="49"/>
    </row>
    <row r="94" spans="1:15" x14ac:dyDescent="0.25">
      <c r="A94" s="44"/>
      <c r="B94" t="s">
        <v>91</v>
      </c>
      <c r="D94" s="49"/>
      <c r="E94" s="46">
        <f>$O$83</f>
        <v>21600</v>
      </c>
      <c r="F94" s="46">
        <f t="shared" ref="F94:I94" si="11">$O$83</f>
        <v>21600</v>
      </c>
      <c r="G94" s="46">
        <f t="shared" si="11"/>
        <v>21600</v>
      </c>
      <c r="H94" s="46">
        <f t="shared" si="11"/>
        <v>21600</v>
      </c>
      <c r="I94" s="45">
        <f t="shared" si="11"/>
        <v>21600</v>
      </c>
    </row>
    <row r="95" spans="1:15" x14ac:dyDescent="0.25">
      <c r="A95" s="44"/>
      <c r="B95" s="41" t="s">
        <v>17</v>
      </c>
      <c r="D95" s="49"/>
      <c r="E95" s="49"/>
      <c r="F95" s="49"/>
      <c r="G95" s="49"/>
      <c r="H95" s="49"/>
      <c r="I95" s="49">
        <f>N83+N84</f>
        <v>124500</v>
      </c>
    </row>
    <row r="96" spans="1:15" x14ac:dyDescent="0.25">
      <c r="A96" s="44"/>
      <c r="B96" s="41" t="s">
        <v>66</v>
      </c>
      <c r="D96" s="49">
        <f>-D66</f>
        <v>-327500</v>
      </c>
      <c r="E96" s="49">
        <f>-E66</f>
        <v>-68775</v>
      </c>
      <c r="F96" s="49">
        <f>-F66</f>
        <v>-83217.750000000087</v>
      </c>
      <c r="G96" s="49">
        <f>-G66</f>
        <v>-100693.47750000007</v>
      </c>
      <c r="H96" s="49">
        <f>-H66</f>
        <v>-121839.10777499998</v>
      </c>
      <c r="I96" s="49"/>
      <c r="J96" s="46"/>
    </row>
    <row r="97" spans="1:9" x14ac:dyDescent="0.25">
      <c r="A97" s="44"/>
      <c r="B97" s="43" t="s">
        <v>67</v>
      </c>
      <c r="C97" s="35"/>
      <c r="D97" s="50"/>
      <c r="E97" s="50"/>
      <c r="F97" s="50"/>
      <c r="G97" s="50"/>
      <c r="H97" s="50"/>
      <c r="I97" s="50">
        <f>I66</f>
        <v>702025.33527500019</v>
      </c>
    </row>
    <row r="98" spans="1:9" x14ac:dyDescent="0.25">
      <c r="A98" s="4"/>
      <c r="B98" s="41" t="s">
        <v>102</v>
      </c>
      <c r="D98" s="49">
        <f>D93+D96</f>
        <v>-1097500</v>
      </c>
      <c r="E98" s="49">
        <f>E92+E94+E95+E96+E97</f>
        <v>257017</v>
      </c>
      <c r="F98" s="49">
        <f t="shared" ref="F98:H98" si="12">F92+F94+F95+F96+F97</f>
        <v>325054.26999999967</v>
      </c>
      <c r="G98" s="49">
        <f t="shared" si="12"/>
        <v>408989.43670000019</v>
      </c>
      <c r="H98" s="49">
        <f t="shared" si="12"/>
        <v>512322.06540700054</v>
      </c>
      <c r="I98" s="49">
        <f>I92+I94+I95+I96+I97</f>
        <v>1613253.3865252207</v>
      </c>
    </row>
    <row r="101" spans="1:9" x14ac:dyDescent="0.25">
      <c r="B101" s="57"/>
    </row>
    <row r="103" spans="1:9" x14ac:dyDescent="0.25">
      <c r="C103" s="49"/>
    </row>
    <row r="104" spans="1:9" x14ac:dyDescent="0.25">
      <c r="C104" s="57"/>
    </row>
  </sheetData>
  <mergeCells count="8">
    <mergeCell ref="B87:D87"/>
    <mergeCell ref="B88:D88"/>
    <mergeCell ref="B81:D81"/>
    <mergeCell ref="B82:D82"/>
    <mergeCell ref="B83:D83"/>
    <mergeCell ref="B84:D84"/>
    <mergeCell ref="B85:D85"/>
    <mergeCell ref="B86:D86"/>
  </mergeCells>
  <pageMargins left="0.7" right="0.7" top="0.75" bottom="0.75" header="0.3" footer="0.3"/>
  <pageSetup paperSize="9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Flujo de caja</vt:lpstr>
      <vt:lpstr>Hoja2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Luis</cp:lastModifiedBy>
  <dcterms:created xsi:type="dcterms:W3CDTF">2017-11-27T17:30:22Z</dcterms:created>
  <dcterms:modified xsi:type="dcterms:W3CDTF">2018-02-08T18:49:07Z</dcterms:modified>
</cp:coreProperties>
</file>