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EJERCICIOS LIBRO PROYECTOS BORRADOR\"/>
    </mc:Choice>
  </mc:AlternateContent>
  <bookViews>
    <workbookView xWindow="0" yWindow="0" windowWidth="24000" windowHeight="913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2" i="1" l="1"/>
  <c r="O11" i="1"/>
  <c r="O10" i="1"/>
  <c r="O13" i="1" s="1"/>
  <c r="E66" i="1"/>
  <c r="E65" i="1"/>
  <c r="E64" i="1"/>
  <c r="G64" i="1" s="1"/>
  <c r="E58" i="1"/>
  <c r="E52" i="1"/>
  <c r="E46" i="1"/>
  <c r="E44" i="1"/>
  <c r="E32" i="1"/>
  <c r="E31" i="1"/>
  <c r="E30" i="1"/>
  <c r="G32" i="1"/>
  <c r="E24" i="1"/>
  <c r="E18" i="1"/>
  <c r="E12" i="1"/>
  <c r="E10" i="1"/>
  <c r="D5" i="1"/>
  <c r="P12" i="1"/>
  <c r="P11" i="1"/>
  <c r="P10" i="1"/>
  <c r="E11" i="1" l="1"/>
  <c r="E33" i="1" s="1"/>
  <c r="E36" i="1" s="1"/>
  <c r="E45" i="1"/>
  <c r="E67" i="1" s="1"/>
  <c r="E70" i="1" s="1"/>
  <c r="Q12" i="1"/>
  <c r="Q11" i="1"/>
  <c r="Q10" i="1"/>
  <c r="E54" i="1"/>
  <c r="E55" i="1"/>
  <c r="E56" i="1"/>
  <c r="E53" i="1"/>
  <c r="G53" i="1" s="1"/>
  <c r="E60" i="1"/>
  <c r="E61" i="1"/>
  <c r="E62" i="1"/>
  <c r="E59" i="1"/>
  <c r="E48" i="1"/>
  <c r="E49" i="1"/>
  <c r="E50" i="1"/>
  <c r="E47" i="1"/>
  <c r="G47" i="1" s="1"/>
  <c r="F65" i="1"/>
  <c r="G65" i="1" s="1"/>
  <c r="F64" i="1"/>
  <c r="F60" i="1"/>
  <c r="F61" i="1"/>
  <c r="F62" i="1"/>
  <c r="F59" i="1"/>
  <c r="F54" i="1"/>
  <c r="F55" i="1"/>
  <c r="F56" i="1"/>
  <c r="F53" i="1"/>
  <c r="F48" i="1"/>
  <c r="F49" i="1"/>
  <c r="F50" i="1"/>
  <c r="F47" i="1"/>
  <c r="G44" i="1"/>
  <c r="D46" i="1"/>
  <c r="D52" i="1"/>
  <c r="D58" i="1"/>
  <c r="G63" i="1"/>
  <c r="G66" i="1"/>
  <c r="F10" i="1"/>
  <c r="G10" i="1" s="1"/>
  <c r="G31" i="1"/>
  <c r="F30" i="1"/>
  <c r="G30" i="1" s="1"/>
  <c r="F26" i="1"/>
  <c r="F27" i="1"/>
  <c r="F28" i="1"/>
  <c r="F25" i="1"/>
  <c r="F20" i="1"/>
  <c r="F21" i="1"/>
  <c r="G21" i="1" s="1"/>
  <c r="F22" i="1"/>
  <c r="F19" i="1"/>
  <c r="F14" i="1"/>
  <c r="F15" i="1"/>
  <c r="F16" i="1"/>
  <c r="F13" i="1"/>
  <c r="E26" i="1"/>
  <c r="G26" i="1" s="1"/>
  <c r="E27" i="1"/>
  <c r="E28" i="1"/>
  <c r="E25" i="1"/>
  <c r="G25" i="1" s="1"/>
  <c r="E20" i="1"/>
  <c r="G20" i="1" s="1"/>
  <c r="E21" i="1"/>
  <c r="E22" i="1"/>
  <c r="E19" i="1"/>
  <c r="E16" i="1"/>
  <c r="E14" i="1"/>
  <c r="G14" i="1" s="1"/>
  <c r="E15" i="1"/>
  <c r="G15" i="1" s="1"/>
  <c r="E13" i="1"/>
  <c r="G13" i="1" s="1"/>
  <c r="D24" i="1"/>
  <c r="D18" i="1"/>
  <c r="D12" i="1"/>
  <c r="Q13" i="1" l="1"/>
  <c r="N55" i="1" s="1"/>
  <c r="O55" i="1" s="1"/>
  <c r="N51" i="1"/>
  <c r="O51" i="1" s="1"/>
  <c r="G60" i="1"/>
  <c r="G19" i="1"/>
  <c r="G22" i="1"/>
  <c r="G62" i="1"/>
  <c r="G61" i="1"/>
  <c r="G28" i="1"/>
  <c r="G27" i="1"/>
  <c r="G49" i="1"/>
  <c r="G55" i="1"/>
  <c r="G56" i="1"/>
  <c r="G59" i="1"/>
  <c r="G50" i="1"/>
  <c r="G54" i="1"/>
  <c r="G48" i="1"/>
  <c r="G16" i="1"/>
  <c r="G12" i="1" s="1"/>
  <c r="G18" i="1" l="1"/>
  <c r="G24" i="1"/>
  <c r="G11" i="1" s="1"/>
  <c r="G33" i="1" s="1"/>
  <c r="E37" i="1" s="1"/>
  <c r="N19" i="1"/>
  <c r="O19" i="1" s="1"/>
  <c r="G58" i="1"/>
  <c r="N24" i="1"/>
  <c r="O24" i="1" s="1"/>
  <c r="N27" i="1"/>
  <c r="O27" i="1" s="1"/>
  <c r="N47" i="1"/>
  <c r="O47" i="1" s="1"/>
  <c r="N23" i="1"/>
  <c r="O23" i="1" s="1"/>
  <c r="N53" i="1"/>
  <c r="O53" i="1" s="1"/>
  <c r="N21" i="1"/>
  <c r="O21" i="1" s="1"/>
  <c r="N48" i="1"/>
  <c r="O48" i="1" s="1"/>
  <c r="N18" i="1"/>
  <c r="O18" i="1" s="1"/>
  <c r="N56" i="1"/>
  <c r="O56" i="1" s="1"/>
  <c r="N25" i="1"/>
  <c r="O25" i="1" s="1"/>
  <c r="N49" i="1"/>
  <c r="O49" i="1" s="1"/>
  <c r="N54" i="1"/>
  <c r="O54" i="1" s="1"/>
  <c r="N20" i="1"/>
  <c r="O20" i="1" s="1"/>
  <c r="N22" i="1"/>
  <c r="O22" i="1" s="1"/>
  <c r="N52" i="1"/>
  <c r="O52" i="1" s="1"/>
  <c r="N26" i="1"/>
  <c r="O26" i="1" s="1"/>
  <c r="N50" i="1"/>
  <c r="O50" i="1" s="1"/>
  <c r="G46" i="1"/>
  <c r="G52" i="1"/>
  <c r="M17" i="1" l="1"/>
  <c r="O17" i="1" s="1"/>
  <c r="O29" i="1" s="1"/>
  <c r="O30" i="1" s="1"/>
  <c r="G45" i="1"/>
  <c r="G67" i="1" s="1"/>
  <c r="E71" i="1" l="1"/>
  <c r="M46" i="1"/>
  <c r="O46" i="1" s="1"/>
  <c r="O58" i="1" s="1"/>
  <c r="O59" i="1" s="1"/>
</calcChain>
</file>

<file path=xl/sharedStrings.xml><?xml version="1.0" encoding="utf-8"?>
<sst xmlns="http://schemas.openxmlformats.org/spreadsheetml/2006/main" count="89" uniqueCount="37">
  <si>
    <t>ALTERNATIVA 1</t>
  </si>
  <si>
    <t>Población(Hab.)</t>
  </si>
  <si>
    <t>Población(Viviendas)</t>
  </si>
  <si>
    <t>Años</t>
  </si>
  <si>
    <t>COSTOS DE INVERSIÓN</t>
  </si>
  <si>
    <t>EXPEDIENTE TECNICO</t>
  </si>
  <si>
    <t>COMPONENETES</t>
  </si>
  <si>
    <t>1. Construccion de muro de Gaviones de caja con alambre galvanizado de 3.40mm con rec de PVC</t>
  </si>
  <si>
    <t>Insumo de origen nacional</t>
  </si>
  <si>
    <t>Insumo de origen importado</t>
  </si>
  <si>
    <t>Mano de Obra calificada</t>
  </si>
  <si>
    <t>Mano de Obra no calificada</t>
  </si>
  <si>
    <t>2. Flete</t>
  </si>
  <si>
    <t>3. Programa de capacitacion en gestión de riesgos y desastres</t>
  </si>
  <si>
    <t>SUPERVICIÓN Y LIQUIDACIÓN DE OBRA</t>
  </si>
  <si>
    <t>GASTOS GENERALES + IGV</t>
  </si>
  <si>
    <t>UTILIDAD</t>
  </si>
  <si>
    <t>PRINCIPALES RUBROS</t>
  </si>
  <si>
    <t>Costos a precios de mercado</t>
  </si>
  <si>
    <t>Factor de correción</t>
  </si>
  <si>
    <t>Costos a precios sociales</t>
  </si>
  <si>
    <t>COSTOS DE INVERSIÓN a precios mercado</t>
  </si>
  <si>
    <t>COSTOS DE INVERSIÓN a precios sociales</t>
  </si>
  <si>
    <t>Limpieza</t>
  </si>
  <si>
    <t>Actividad</t>
  </si>
  <si>
    <t>Conceptos</t>
  </si>
  <si>
    <t>Año</t>
  </si>
  <si>
    <t>Inversión</t>
  </si>
  <si>
    <t xml:space="preserve">Costo incremental de O&amp;M </t>
  </si>
  <si>
    <t>Flujos de costos</t>
  </si>
  <si>
    <t>VACSN</t>
  </si>
  <si>
    <t>C/E</t>
  </si>
  <si>
    <t>TASA SOCIAL DE DESCUENTO</t>
  </si>
  <si>
    <t>Valor actual del costo social neto</t>
  </si>
  <si>
    <t>Total beneficiados</t>
  </si>
  <si>
    <t>FC</t>
  </si>
  <si>
    <t>Tipo de cambio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</si>
</sst>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9">
    <xf numFmtId="0" fontId="0" fillId="0" borderId="0" xfId="0"/>
    <xf numFmtId="0" fontId="2" fillId="2" borderId="0" xfId="0" applyFont="1" applyFill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wrapText="1"/>
    </xf>
    <xf numFmtId="0" fontId="2" fillId="0" borderId="0" xfId="0" applyFont="1" applyBorder="1" applyAlignment="1">
      <alignment horizontal="center"/>
    </xf>
    <xf numFmtId="0" fontId="0" fillId="0" borderId="3" xfId="0" applyBorder="1" applyAlignment="1">
      <alignment horizontal="center"/>
    </xf>
    <xf numFmtId="4" fontId="0" fillId="0" borderId="3" xfId="0" applyNumberFormat="1" applyBorder="1"/>
    <xf numFmtId="4" fontId="2" fillId="0" borderId="0" xfId="0" applyNumberFormat="1" applyFont="1" applyAlignment="1">
      <alignment horizontal="center"/>
    </xf>
    <xf numFmtId="9" fontId="2" fillId="0" borderId="0" xfId="0" applyNumberFormat="1" applyFont="1" applyAlignment="1">
      <alignment horizontal="center"/>
    </xf>
    <xf numFmtId="9" fontId="0" fillId="0" borderId="0" xfId="1" applyFont="1" applyAlignment="1">
      <alignment horizontal="center"/>
    </xf>
    <xf numFmtId="4" fontId="0" fillId="0" borderId="0" xfId="0" applyNumberFormat="1" applyFont="1" applyAlignment="1">
      <alignment horizontal="center"/>
    </xf>
    <xf numFmtId="4" fontId="2" fillId="0" borderId="1" xfId="0" applyNumberFormat="1" applyFont="1" applyBorder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1" xfId="0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0" fillId="3" borderId="1" xfId="0" applyFill="1" applyBorder="1" applyAlignment="1">
      <alignment horizontal="center"/>
    </xf>
    <xf numFmtId="0" fontId="3" fillId="0" borderId="0" xfId="0" applyFont="1" applyAlignment="1">
      <alignment horizontal="left"/>
    </xf>
    <xf numFmtId="0" fontId="3" fillId="3" borderId="0" xfId="0" applyFont="1" applyFill="1" applyAlignment="1">
      <alignment horizontal="left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0" fillId="0" borderId="3" xfId="0" applyBorder="1" applyAlignment="1">
      <alignment horizontal="center"/>
    </xf>
    <xf numFmtId="2" fontId="0" fillId="0" borderId="0" xfId="0" applyNumberFormat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3" xfId="0" applyBorder="1"/>
    <xf numFmtId="2" fontId="0" fillId="0" borderId="3" xfId="0" applyNumberForma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" fontId="0" fillId="0" borderId="0" xfId="0" applyNumberFormat="1"/>
    <xf numFmtId="0" fontId="0" fillId="0" borderId="0" xfId="0" applyBorder="1" applyAlignment="1">
      <alignment horizontal="center"/>
    </xf>
    <xf numFmtId="4" fontId="0" fillId="0" borderId="3" xfId="0" applyNumberFormat="1" applyBorder="1" applyAlignment="1">
      <alignment horizontal="center"/>
    </xf>
    <xf numFmtId="9" fontId="0" fillId="0" borderId="0" xfId="0" applyNumberFormat="1"/>
    <xf numFmtId="3" fontId="0" fillId="0" borderId="3" xfId="0" applyNumberFormat="1" applyBorder="1"/>
    <xf numFmtId="2" fontId="0" fillId="0" borderId="3" xfId="0" applyNumberFormat="1" applyBorder="1"/>
    <xf numFmtId="3" fontId="0" fillId="0" borderId="3" xfId="0" applyNumberFormat="1" applyBorder="1" applyAlignment="1">
      <alignment horizontal="center"/>
    </xf>
    <xf numFmtId="0" fontId="2" fillId="0" borderId="0" xfId="0" applyFont="1" applyBorder="1" applyAlignment="1"/>
    <xf numFmtId="0" fontId="2" fillId="0" borderId="1" xfId="0" applyFont="1" applyBorder="1" applyAlignment="1"/>
    <xf numFmtId="0" fontId="0" fillId="4" borderId="0" xfId="0" applyFill="1" applyAlignment="1">
      <alignment horizontal="center"/>
    </xf>
    <xf numFmtId="0" fontId="2" fillId="0" borderId="3" xfId="0" applyFont="1" applyBorder="1"/>
    <xf numFmtId="0" fontId="2" fillId="0" borderId="3" xfId="0" applyFont="1" applyFill="1" applyBorder="1" applyAlignment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71"/>
  <sheetViews>
    <sheetView tabSelected="1" zoomScale="90" zoomScaleNormal="90" workbookViewId="0">
      <selection activeCell="H8" sqref="H8"/>
    </sheetView>
  </sheetViews>
  <sheetFormatPr baseColWidth="10" defaultRowHeight="15" x14ac:dyDescent="0.25"/>
  <cols>
    <col min="1" max="1" width="20.7109375" customWidth="1"/>
    <col min="2" max="2" width="5.42578125" customWidth="1"/>
    <col min="3" max="3" width="28" customWidth="1"/>
    <col min="5" max="5" width="17.7109375" customWidth="1"/>
    <col min="6" max="6" width="14.42578125" customWidth="1"/>
    <col min="7" max="7" width="15.85546875" customWidth="1"/>
    <col min="12" max="12" width="13" customWidth="1"/>
    <col min="13" max="13" width="14.140625" customWidth="1"/>
    <col min="14" max="14" width="17.7109375" customWidth="1"/>
    <col min="15" max="15" width="17.28515625" bestFit="1" customWidth="1"/>
    <col min="17" max="17" width="17.28515625" customWidth="1"/>
  </cols>
  <sheetData>
    <row r="2" spans="1:18" x14ac:dyDescent="0.25">
      <c r="C2" s="4" t="s">
        <v>3</v>
      </c>
      <c r="D2" s="4">
        <v>0</v>
      </c>
      <c r="E2" s="4">
        <v>1</v>
      </c>
      <c r="F2" s="4">
        <v>2</v>
      </c>
      <c r="G2" s="4">
        <v>3</v>
      </c>
      <c r="H2" s="4">
        <v>4</v>
      </c>
      <c r="I2" s="4">
        <v>5</v>
      </c>
      <c r="J2" s="4">
        <v>6</v>
      </c>
      <c r="K2" s="4">
        <v>7</v>
      </c>
      <c r="L2" s="4">
        <v>8</v>
      </c>
      <c r="M2" s="4">
        <v>9</v>
      </c>
      <c r="N2" s="4">
        <v>10</v>
      </c>
      <c r="P2" t="s">
        <v>8</v>
      </c>
      <c r="R2">
        <v>0.84699999999999998</v>
      </c>
    </row>
    <row r="3" spans="1:18" x14ac:dyDescent="0.25">
      <c r="C3" s="44" t="s">
        <v>1</v>
      </c>
      <c r="D3" s="5">
        <v>175</v>
      </c>
      <c r="E3" s="5">
        <v>176</v>
      </c>
      <c r="F3" s="5">
        <v>177</v>
      </c>
      <c r="G3" s="5">
        <v>178</v>
      </c>
      <c r="H3" s="5">
        <v>180</v>
      </c>
      <c r="I3" s="5">
        <v>183</v>
      </c>
      <c r="J3" s="5">
        <v>187</v>
      </c>
      <c r="K3" s="5">
        <v>191</v>
      </c>
      <c r="L3" s="5">
        <v>195</v>
      </c>
      <c r="M3" s="5">
        <v>201</v>
      </c>
      <c r="N3" s="5">
        <v>207</v>
      </c>
      <c r="P3" t="s">
        <v>9</v>
      </c>
      <c r="R3">
        <v>0.86799999999999999</v>
      </c>
    </row>
    <row r="4" spans="1:18" x14ac:dyDescent="0.25">
      <c r="C4" s="45" t="s">
        <v>2</v>
      </c>
      <c r="D4" s="6">
        <v>35</v>
      </c>
      <c r="E4" s="6">
        <v>35</v>
      </c>
      <c r="F4" s="6">
        <v>35</v>
      </c>
      <c r="G4" s="6">
        <v>36</v>
      </c>
      <c r="H4" s="6">
        <v>36</v>
      </c>
      <c r="I4" s="6">
        <v>37</v>
      </c>
      <c r="J4" s="6">
        <v>37</v>
      </c>
      <c r="K4" s="6">
        <v>38</v>
      </c>
      <c r="L4" s="6">
        <v>39</v>
      </c>
      <c r="M4" s="6">
        <v>40</v>
      </c>
      <c r="N4" s="6">
        <v>41</v>
      </c>
      <c r="P4" t="s">
        <v>10</v>
      </c>
      <c r="R4">
        <v>0.90900000000000003</v>
      </c>
    </row>
    <row r="5" spans="1:18" x14ac:dyDescent="0.25">
      <c r="B5" s="8"/>
      <c r="C5" s="8" t="s">
        <v>34</v>
      </c>
      <c r="D5" s="38">
        <f>SUM(E3:N3)</f>
        <v>1875</v>
      </c>
      <c r="E5" s="38"/>
      <c r="F5" s="38"/>
      <c r="G5" s="38"/>
      <c r="H5" s="38"/>
      <c r="I5" s="38"/>
      <c r="J5" s="38"/>
      <c r="K5" s="38"/>
      <c r="L5" s="38"/>
      <c r="M5" s="38"/>
      <c r="N5" s="38"/>
      <c r="P5" t="s">
        <v>11</v>
      </c>
      <c r="R5">
        <v>0.6</v>
      </c>
    </row>
    <row r="7" spans="1:18" x14ac:dyDescent="0.25">
      <c r="A7" s="1" t="s">
        <v>0</v>
      </c>
      <c r="C7" t="s">
        <v>4</v>
      </c>
      <c r="G7" s="47" t="s">
        <v>36</v>
      </c>
      <c r="H7" s="48">
        <v>3.27</v>
      </c>
    </row>
    <row r="8" spans="1:18" ht="27" customHeight="1" x14ac:dyDescent="0.25">
      <c r="H8" s="7"/>
    </row>
    <row r="9" spans="1:18" ht="29.25" customHeight="1" x14ac:dyDescent="0.25">
      <c r="B9" s="24" t="s">
        <v>17</v>
      </c>
      <c r="C9" s="24"/>
      <c r="D9" s="17"/>
      <c r="E9" s="18" t="s">
        <v>18</v>
      </c>
      <c r="F9" s="18" t="s">
        <v>19</v>
      </c>
      <c r="G9" s="18" t="s">
        <v>20</v>
      </c>
      <c r="L9" s="34" t="s">
        <v>24</v>
      </c>
      <c r="M9" s="35" t="s">
        <v>25</v>
      </c>
      <c r="N9" s="35"/>
      <c r="O9" s="36" t="s">
        <v>18</v>
      </c>
      <c r="P9" s="36" t="s">
        <v>19</v>
      </c>
      <c r="Q9" s="36" t="s">
        <v>20</v>
      </c>
    </row>
    <row r="10" spans="1:18" x14ac:dyDescent="0.25">
      <c r="B10" s="20" t="s">
        <v>5</v>
      </c>
      <c r="C10" s="20"/>
      <c r="D10" s="3"/>
      <c r="E10" s="11">
        <f>11000/$H$7</f>
        <v>3363.9143730886849</v>
      </c>
      <c r="F10" s="3">
        <f>R4</f>
        <v>0.90900000000000003</v>
      </c>
      <c r="G10" s="11">
        <f>E10*F10</f>
        <v>3057.7981651376149</v>
      </c>
      <c r="L10" s="31" t="s">
        <v>23</v>
      </c>
      <c r="M10" s="32" t="s">
        <v>8</v>
      </c>
      <c r="N10" s="32"/>
      <c r="O10" s="9">
        <f>746.35/H7</f>
        <v>228.24159021406729</v>
      </c>
      <c r="P10" s="9">
        <f>R2</f>
        <v>0.84699999999999998</v>
      </c>
      <c r="Q10" s="9">
        <f>O10*P10</f>
        <v>193.32062691131497</v>
      </c>
    </row>
    <row r="11" spans="1:18" ht="19.5" customHeight="1" x14ac:dyDescent="0.25">
      <c r="B11" s="20" t="s">
        <v>6</v>
      </c>
      <c r="C11" s="20"/>
      <c r="D11" s="3"/>
      <c r="E11" s="11">
        <f>E12+E18+E24</f>
        <v>233759.37308868501</v>
      </c>
      <c r="F11" s="3"/>
      <c r="G11" s="11">
        <f>G12+G18+G24</f>
        <v>185775.58175305807</v>
      </c>
      <c r="L11" s="31"/>
      <c r="M11" s="32" t="s">
        <v>9</v>
      </c>
      <c r="N11" s="32"/>
      <c r="O11" s="9">
        <f>298.54/H7</f>
        <v>91.296636085626915</v>
      </c>
      <c r="P11" s="9">
        <f>R3</f>
        <v>0.86799999999999999</v>
      </c>
      <c r="Q11" s="9">
        <f t="shared" ref="Q11:Q12" si="0">O11*P11</f>
        <v>79.245480122324167</v>
      </c>
    </row>
    <row r="12" spans="1:18" x14ac:dyDescent="0.25">
      <c r="B12" s="26" t="s">
        <v>7</v>
      </c>
      <c r="C12" s="26"/>
      <c r="D12" s="12">
        <f>SUM(D13:D16)</f>
        <v>1</v>
      </c>
      <c r="E12" s="11">
        <f>759893.15/H7</f>
        <v>232383.22629969419</v>
      </c>
      <c r="F12" s="3"/>
      <c r="G12" s="11">
        <f>SUM(G13:G16)</f>
        <v>184640.09245642199</v>
      </c>
      <c r="L12" s="31"/>
      <c r="M12" s="32" t="s">
        <v>11</v>
      </c>
      <c r="N12" s="32"/>
      <c r="O12" s="9">
        <f>447.81/H7</f>
        <v>136.94495412844037</v>
      </c>
      <c r="P12" s="9">
        <f>R4</f>
        <v>0.90900000000000003</v>
      </c>
      <c r="Q12" s="9">
        <f t="shared" si="0"/>
        <v>124.4829633027523</v>
      </c>
    </row>
    <row r="13" spans="1:18" x14ac:dyDescent="0.25">
      <c r="C13" t="s">
        <v>8</v>
      </c>
      <c r="D13" s="13">
        <v>0.6</v>
      </c>
      <c r="E13" s="14">
        <f>D13*$E$12</f>
        <v>139429.9357798165</v>
      </c>
      <c r="F13" s="3">
        <f>R2</f>
        <v>0.84699999999999998</v>
      </c>
      <c r="G13" s="14">
        <f t="shared" ref="G13:G32" si="1">E13*F13</f>
        <v>118097.15560550457</v>
      </c>
      <c r="O13" s="30">
        <f>SUM(O10:O12)</f>
        <v>456.48318042813457</v>
      </c>
      <c r="P13" s="3"/>
      <c r="Q13" s="33">
        <f>SUM(Q10:Q12)</f>
        <v>397.04907033639142</v>
      </c>
    </row>
    <row r="14" spans="1:18" x14ac:dyDescent="0.25">
      <c r="C14" t="s">
        <v>9</v>
      </c>
      <c r="D14" s="13">
        <v>0</v>
      </c>
      <c r="E14" s="14">
        <f t="shared" ref="E14:E16" si="2">D14*$E$12</f>
        <v>0</v>
      </c>
      <c r="F14" s="3">
        <f>R3</f>
        <v>0.86799999999999999</v>
      </c>
      <c r="G14" s="3">
        <f t="shared" si="1"/>
        <v>0</v>
      </c>
    </row>
    <row r="15" spans="1:18" x14ac:dyDescent="0.25">
      <c r="C15" t="s">
        <v>10</v>
      </c>
      <c r="D15" s="13">
        <v>0.15</v>
      </c>
      <c r="E15" s="14">
        <f t="shared" si="2"/>
        <v>34857.483944954125</v>
      </c>
      <c r="F15" s="3">
        <f>R4</f>
        <v>0.90900000000000003</v>
      </c>
      <c r="G15" s="3">
        <f t="shared" si="1"/>
        <v>31685.452905963302</v>
      </c>
    </row>
    <row r="16" spans="1:18" x14ac:dyDescent="0.25">
      <c r="C16" t="s">
        <v>11</v>
      </c>
      <c r="D16" s="13">
        <v>0.25</v>
      </c>
      <c r="E16" s="14">
        <f t="shared" si="2"/>
        <v>58095.806574923547</v>
      </c>
      <c r="F16" s="3">
        <f>R5</f>
        <v>0.6</v>
      </c>
      <c r="G16" s="3">
        <f t="shared" si="1"/>
        <v>34857.483944954125</v>
      </c>
      <c r="L16" s="32" t="s">
        <v>26</v>
      </c>
      <c r="M16" s="32" t="s">
        <v>27</v>
      </c>
      <c r="N16" s="32" t="s">
        <v>28</v>
      </c>
      <c r="O16" s="32" t="s">
        <v>29</v>
      </c>
    </row>
    <row r="17" spans="2:19" x14ac:dyDescent="0.25">
      <c r="D17" s="3"/>
      <c r="E17" s="3"/>
      <c r="F17" s="3"/>
      <c r="G17" s="3"/>
      <c r="L17" s="9">
        <v>0</v>
      </c>
      <c r="M17" s="39">
        <f>G33</f>
        <v>258444.38062461768</v>
      </c>
      <c r="N17" s="9"/>
      <c r="O17" s="39">
        <f>M17+N17</f>
        <v>258444.38062461768</v>
      </c>
    </row>
    <row r="18" spans="2:19" x14ac:dyDescent="0.25">
      <c r="B18" s="27" t="s">
        <v>12</v>
      </c>
      <c r="C18" s="27"/>
      <c r="D18" s="12">
        <f>SUM(D19:D22)</f>
        <v>1</v>
      </c>
      <c r="E18" s="11">
        <f>2500/H7</f>
        <v>764.52599388379201</v>
      </c>
      <c r="F18" s="3"/>
      <c r="G18" s="2">
        <f>SUM(G19:G22)</f>
        <v>590.90214067278271</v>
      </c>
      <c r="L18" s="9">
        <v>1</v>
      </c>
      <c r="M18" s="9"/>
      <c r="N18" s="33">
        <f>$Q$13</f>
        <v>397.04907033639142</v>
      </c>
      <c r="O18" s="39">
        <f t="shared" ref="O18:O27" si="3">M18+N18</f>
        <v>397.04907033639142</v>
      </c>
    </row>
    <row r="19" spans="2:19" x14ac:dyDescent="0.25">
      <c r="C19" t="s">
        <v>8</v>
      </c>
      <c r="D19" s="13">
        <v>0.7</v>
      </c>
      <c r="E19" s="14">
        <f>D19*$E$18</f>
        <v>535.16819571865437</v>
      </c>
      <c r="F19" s="3">
        <f>R2</f>
        <v>0.84699999999999998</v>
      </c>
      <c r="G19" s="3">
        <f t="shared" si="1"/>
        <v>453.28746177370022</v>
      </c>
      <c r="L19" s="9">
        <v>2</v>
      </c>
      <c r="M19" s="9"/>
      <c r="N19" s="33">
        <f t="shared" ref="N19:N27" si="4">$Q$13</f>
        <v>397.04907033639142</v>
      </c>
      <c r="O19" s="39">
        <f t="shared" si="3"/>
        <v>397.04907033639142</v>
      </c>
    </row>
    <row r="20" spans="2:19" x14ac:dyDescent="0.25">
      <c r="C20" t="s">
        <v>9</v>
      </c>
      <c r="D20" s="13">
        <v>0</v>
      </c>
      <c r="E20" s="14">
        <f>D20*$E$18</f>
        <v>0</v>
      </c>
      <c r="F20" s="3">
        <f>R3</f>
        <v>0.86799999999999999</v>
      </c>
      <c r="G20" s="3">
        <f t="shared" si="1"/>
        <v>0</v>
      </c>
      <c r="L20" s="9">
        <v>3</v>
      </c>
      <c r="M20" s="9"/>
      <c r="N20" s="33">
        <f t="shared" si="4"/>
        <v>397.04907033639142</v>
      </c>
      <c r="O20" s="39">
        <f t="shared" si="3"/>
        <v>397.04907033639142</v>
      </c>
    </row>
    <row r="21" spans="2:19" ht="18" customHeight="1" x14ac:dyDescent="0.25">
      <c r="C21" t="s">
        <v>10</v>
      </c>
      <c r="D21" s="13">
        <v>0</v>
      </c>
      <c r="E21" s="14">
        <f>D21*$E$18</f>
        <v>0</v>
      </c>
      <c r="F21" s="3">
        <f>R4</f>
        <v>0.90900000000000003</v>
      </c>
      <c r="G21" s="3">
        <f t="shared" si="1"/>
        <v>0</v>
      </c>
      <c r="L21" s="9">
        <v>4</v>
      </c>
      <c r="M21" s="9"/>
      <c r="N21" s="33">
        <f t="shared" si="4"/>
        <v>397.04907033639142</v>
      </c>
      <c r="O21" s="39">
        <f t="shared" si="3"/>
        <v>397.04907033639142</v>
      </c>
    </row>
    <row r="22" spans="2:19" x14ac:dyDescent="0.25">
      <c r="C22" t="s">
        <v>11</v>
      </c>
      <c r="D22" s="13">
        <v>0.3</v>
      </c>
      <c r="E22" s="14">
        <f>D22*$E$18</f>
        <v>229.35779816513761</v>
      </c>
      <c r="F22" s="3">
        <f>R5</f>
        <v>0.6</v>
      </c>
      <c r="G22" s="3">
        <f t="shared" si="1"/>
        <v>137.61467889908255</v>
      </c>
      <c r="L22" s="9">
        <v>5</v>
      </c>
      <c r="M22" s="9"/>
      <c r="N22" s="33">
        <f t="shared" si="4"/>
        <v>397.04907033639142</v>
      </c>
      <c r="O22" s="39">
        <f t="shared" si="3"/>
        <v>397.04907033639142</v>
      </c>
    </row>
    <row r="23" spans="2:19" ht="26.25" customHeight="1" x14ac:dyDescent="0.25">
      <c r="D23" s="3"/>
      <c r="E23" s="3"/>
      <c r="F23" s="3"/>
      <c r="G23" s="3"/>
      <c r="L23" s="9">
        <v>6</v>
      </c>
      <c r="M23" s="9"/>
      <c r="N23" s="33">
        <f t="shared" si="4"/>
        <v>397.04907033639142</v>
      </c>
      <c r="O23" s="39">
        <f t="shared" si="3"/>
        <v>397.04907033639142</v>
      </c>
    </row>
    <row r="24" spans="2:19" x14ac:dyDescent="0.25">
      <c r="B24" s="28" t="s">
        <v>13</v>
      </c>
      <c r="C24" s="28"/>
      <c r="D24" s="12">
        <f>SUM(D25:D28)</f>
        <v>1</v>
      </c>
      <c r="E24" s="11">
        <f>2000/H7</f>
        <v>611.62079510703359</v>
      </c>
      <c r="F24" s="3"/>
      <c r="G24" s="2">
        <f>SUM(G25:G28)</f>
        <v>544.58715596330262</v>
      </c>
      <c r="L24" s="9">
        <v>7</v>
      </c>
      <c r="M24" s="9"/>
      <c r="N24" s="33">
        <f t="shared" si="4"/>
        <v>397.04907033639142</v>
      </c>
      <c r="O24" s="39">
        <f t="shared" si="3"/>
        <v>397.04907033639142</v>
      </c>
    </row>
    <row r="25" spans="2:19" x14ac:dyDescent="0.25">
      <c r="C25" t="s">
        <v>8</v>
      </c>
      <c r="D25" s="13">
        <v>0.3</v>
      </c>
      <c r="E25" s="14">
        <f>D25*$E$24</f>
        <v>183.48623853211006</v>
      </c>
      <c r="F25" s="3">
        <f>R2</f>
        <v>0.84699999999999998</v>
      </c>
      <c r="G25" s="3">
        <f t="shared" si="1"/>
        <v>155.41284403669721</v>
      </c>
      <c r="L25" s="9">
        <v>8</v>
      </c>
      <c r="M25" s="9"/>
      <c r="N25" s="33">
        <f t="shared" si="4"/>
        <v>397.04907033639142</v>
      </c>
      <c r="O25" s="39">
        <f t="shared" si="3"/>
        <v>397.04907033639142</v>
      </c>
    </row>
    <row r="26" spans="2:19" x14ac:dyDescent="0.25">
      <c r="C26" t="s">
        <v>9</v>
      </c>
      <c r="D26" s="13">
        <v>0</v>
      </c>
      <c r="E26" s="14">
        <f>D26*$E$24</f>
        <v>0</v>
      </c>
      <c r="F26" s="3">
        <f>R3</f>
        <v>0.86799999999999999</v>
      </c>
      <c r="G26" s="3">
        <f t="shared" si="1"/>
        <v>0</v>
      </c>
      <c r="L26" s="9">
        <v>9</v>
      </c>
      <c r="M26" s="9"/>
      <c r="N26" s="33">
        <f t="shared" si="4"/>
        <v>397.04907033639142</v>
      </c>
      <c r="O26" s="39">
        <f t="shared" si="3"/>
        <v>397.04907033639142</v>
      </c>
    </row>
    <row r="27" spans="2:19" x14ac:dyDescent="0.25">
      <c r="C27" t="s">
        <v>10</v>
      </c>
      <c r="D27" s="13">
        <v>0.7</v>
      </c>
      <c r="E27" s="14">
        <f>D27*$E$24</f>
        <v>428.13455657492347</v>
      </c>
      <c r="F27" s="3">
        <f>R4</f>
        <v>0.90900000000000003</v>
      </c>
      <c r="G27" s="3">
        <f t="shared" si="1"/>
        <v>389.17431192660547</v>
      </c>
      <c r="L27" s="9">
        <v>10</v>
      </c>
      <c r="M27" s="9"/>
      <c r="N27" s="33">
        <f t="shared" si="4"/>
        <v>397.04907033639142</v>
      </c>
      <c r="O27" s="39">
        <f t="shared" si="3"/>
        <v>397.04907033639142</v>
      </c>
    </row>
    <row r="28" spans="2:19" x14ac:dyDescent="0.25">
      <c r="C28" t="s">
        <v>11</v>
      </c>
      <c r="D28" s="13">
        <v>0</v>
      </c>
      <c r="E28" s="14">
        <f>D28*$E$24</f>
        <v>0</v>
      </c>
      <c r="F28" s="3">
        <f>R5</f>
        <v>0.6</v>
      </c>
      <c r="G28" s="3">
        <f t="shared" si="1"/>
        <v>0</v>
      </c>
      <c r="Q28" t="s">
        <v>32</v>
      </c>
      <c r="S28" s="40">
        <v>0.1</v>
      </c>
    </row>
    <row r="29" spans="2:19" x14ac:dyDescent="0.25">
      <c r="D29" s="3"/>
      <c r="E29" s="3"/>
      <c r="F29" s="3"/>
      <c r="G29" s="3"/>
      <c r="M29" t="s">
        <v>33</v>
      </c>
      <c r="N29" s="32" t="s">
        <v>30</v>
      </c>
      <c r="O29" s="41">
        <f>NPV(10%,O18:O27)+O17</f>
        <v>260884.07528155731</v>
      </c>
    </row>
    <row r="30" spans="2:19" x14ac:dyDescent="0.25">
      <c r="B30" s="20" t="s">
        <v>14</v>
      </c>
      <c r="C30" s="20"/>
      <c r="D30" s="3"/>
      <c r="E30" s="11">
        <f>20554.24/H7</f>
        <v>6285.7003058103983</v>
      </c>
      <c r="F30" s="3">
        <f>R4</f>
        <v>0.90900000000000003</v>
      </c>
      <c r="G30" s="3">
        <f t="shared" si="1"/>
        <v>5713.701577981652</v>
      </c>
      <c r="N30" s="32" t="s">
        <v>31</v>
      </c>
      <c r="O30" s="42">
        <f>O29/$D$5</f>
        <v>139.13817348349724</v>
      </c>
    </row>
    <row r="31" spans="2:19" x14ac:dyDescent="0.25">
      <c r="B31" s="20" t="s">
        <v>15</v>
      </c>
      <c r="C31" s="20"/>
      <c r="D31" s="3"/>
      <c r="E31" s="11">
        <f>191167.3/H7</f>
        <v>58460.948012232409</v>
      </c>
      <c r="F31" s="46">
        <v>0.84699999999999998</v>
      </c>
      <c r="G31" s="3">
        <f t="shared" si="1"/>
        <v>49516.422966360849</v>
      </c>
      <c r="H31" t="s">
        <v>35</v>
      </c>
      <c r="I31">
        <v>0.84750000000000003</v>
      </c>
    </row>
    <row r="32" spans="2:19" x14ac:dyDescent="0.25">
      <c r="B32" s="21" t="s">
        <v>16</v>
      </c>
      <c r="C32" s="21"/>
      <c r="D32" s="6"/>
      <c r="E32" s="15">
        <f>61151.45/H7</f>
        <v>18700.749235474006</v>
      </c>
      <c r="F32" s="19">
        <v>0.76900000000000002</v>
      </c>
      <c r="G32" s="6">
        <f>E32*F32</f>
        <v>14380.87616207951</v>
      </c>
      <c r="O32" s="37"/>
    </row>
    <row r="33" spans="1:15" x14ac:dyDescent="0.25">
      <c r="D33" s="3"/>
      <c r="E33" s="16">
        <f>E10+E11+E30+E31+E32</f>
        <v>320570.68501529051</v>
      </c>
      <c r="F33" s="3"/>
      <c r="G33" s="16">
        <f>G10+G11+G30+G31+G32</f>
        <v>258444.38062461768</v>
      </c>
    </row>
    <row r="36" spans="1:15" x14ac:dyDescent="0.25">
      <c r="C36" s="29" t="s">
        <v>21</v>
      </c>
      <c r="D36" s="29"/>
      <c r="E36" s="10">
        <f>E33</f>
        <v>320570.68501529051</v>
      </c>
    </row>
    <row r="37" spans="1:15" x14ac:dyDescent="0.25">
      <c r="C37" s="29" t="s">
        <v>22</v>
      </c>
      <c r="D37" s="29"/>
      <c r="E37" s="10">
        <f>G33</f>
        <v>258444.38062461768</v>
      </c>
    </row>
    <row r="41" spans="1:15" x14ac:dyDescent="0.25">
      <c r="A41" s="1" t="s">
        <v>0</v>
      </c>
      <c r="C41" t="s">
        <v>4</v>
      </c>
    </row>
    <row r="43" spans="1:15" ht="30" customHeight="1" x14ac:dyDescent="0.25">
      <c r="B43" s="24" t="s">
        <v>17</v>
      </c>
      <c r="C43" s="24"/>
      <c r="D43" s="17"/>
      <c r="E43" s="18" t="s">
        <v>18</v>
      </c>
      <c r="F43" s="18" t="s">
        <v>19</v>
      </c>
      <c r="G43" s="18" t="s">
        <v>20</v>
      </c>
    </row>
    <row r="44" spans="1:15" x14ac:dyDescent="0.25">
      <c r="B44" s="25" t="s">
        <v>5</v>
      </c>
      <c r="C44" s="25"/>
      <c r="D44" s="3"/>
      <c r="E44" s="11">
        <f>11000/H7</f>
        <v>3363.9143730886849</v>
      </c>
      <c r="F44" s="3">
        <v>0.90900000000000003</v>
      </c>
      <c r="G44" s="11">
        <f>E44*F44</f>
        <v>3057.7981651376149</v>
      </c>
    </row>
    <row r="45" spans="1:15" x14ac:dyDescent="0.25">
      <c r="B45" s="20" t="s">
        <v>6</v>
      </c>
      <c r="C45" s="20"/>
      <c r="D45" s="3"/>
      <c r="E45" s="11">
        <f>E46+E52+E58</f>
        <v>239875.58103975534</v>
      </c>
      <c r="F45" s="3"/>
      <c r="G45" s="11">
        <f>G46+G52+G58</f>
        <v>190635.21478058101</v>
      </c>
      <c r="L45" s="32" t="s">
        <v>26</v>
      </c>
      <c r="M45" s="32" t="s">
        <v>27</v>
      </c>
      <c r="N45" s="32" t="s">
        <v>28</v>
      </c>
      <c r="O45" s="32" t="s">
        <v>29</v>
      </c>
    </row>
    <row r="46" spans="1:15" ht="15" customHeight="1" x14ac:dyDescent="0.25">
      <c r="B46" s="26" t="s">
        <v>7</v>
      </c>
      <c r="C46" s="26"/>
      <c r="D46" s="12">
        <f>SUM(D47:D50)</f>
        <v>1</v>
      </c>
      <c r="E46" s="11">
        <f>779893.15/H7</f>
        <v>238499.43425076452</v>
      </c>
      <c r="F46" s="3"/>
      <c r="G46" s="11">
        <f>SUM(G47:G50)</f>
        <v>189499.72548394493</v>
      </c>
      <c r="L46" s="9">
        <v>0</v>
      </c>
      <c r="M46" s="39">
        <f>G67</f>
        <v>265110.04698547401</v>
      </c>
      <c r="N46" s="9"/>
      <c r="O46" s="39">
        <f>M46+N46</f>
        <v>265110.04698547401</v>
      </c>
    </row>
    <row r="47" spans="1:15" x14ac:dyDescent="0.25">
      <c r="C47" t="s">
        <v>8</v>
      </c>
      <c r="D47" s="13">
        <v>0.6</v>
      </c>
      <c r="E47" s="14">
        <f>D47*$E$46</f>
        <v>143099.66055045871</v>
      </c>
      <c r="F47" s="3">
        <f>R2</f>
        <v>0.84699999999999998</v>
      </c>
      <c r="G47" s="14">
        <f t="shared" ref="G47:G50" si="5">E47*F47</f>
        <v>121205.41248623852</v>
      </c>
      <c r="L47" s="9">
        <v>1</v>
      </c>
      <c r="M47" s="9"/>
      <c r="N47" s="33">
        <f>$Q$13</f>
        <v>397.04907033639142</v>
      </c>
      <c r="O47" s="39">
        <f t="shared" ref="O47:O56" si="6">M47+N47</f>
        <v>397.04907033639142</v>
      </c>
    </row>
    <row r="48" spans="1:15" x14ac:dyDescent="0.25">
      <c r="C48" t="s">
        <v>9</v>
      </c>
      <c r="D48" s="13">
        <v>0</v>
      </c>
      <c r="E48" s="14">
        <f t="shared" ref="E48:E50" si="7">D48*$E$46</f>
        <v>0</v>
      </c>
      <c r="F48" s="3">
        <f>R3</f>
        <v>0.86799999999999999</v>
      </c>
      <c r="G48" s="14">
        <f t="shared" si="5"/>
        <v>0</v>
      </c>
      <c r="L48" s="9">
        <v>2</v>
      </c>
      <c r="M48" s="9"/>
      <c r="N48" s="33">
        <f t="shared" ref="N48:N56" si="8">$Q$13</f>
        <v>397.04907033639142</v>
      </c>
      <c r="O48" s="39">
        <f t="shared" si="6"/>
        <v>397.04907033639142</v>
      </c>
    </row>
    <row r="49" spans="2:15" x14ac:dyDescent="0.25">
      <c r="C49" t="s">
        <v>10</v>
      </c>
      <c r="D49" s="13">
        <v>0.15</v>
      </c>
      <c r="E49" s="14">
        <f t="shared" si="7"/>
        <v>35774.915137614676</v>
      </c>
      <c r="F49" s="3">
        <f>R4</f>
        <v>0.90900000000000003</v>
      </c>
      <c r="G49" s="14">
        <f t="shared" si="5"/>
        <v>32519.397860091743</v>
      </c>
      <c r="L49" s="9">
        <v>3</v>
      </c>
      <c r="M49" s="9"/>
      <c r="N49" s="33">
        <f t="shared" si="8"/>
        <v>397.04907033639142</v>
      </c>
      <c r="O49" s="39">
        <f t="shared" si="6"/>
        <v>397.04907033639142</v>
      </c>
    </row>
    <row r="50" spans="2:15" x14ac:dyDescent="0.25">
      <c r="C50" t="s">
        <v>11</v>
      </c>
      <c r="D50" s="13">
        <v>0.25</v>
      </c>
      <c r="E50" s="14">
        <f t="shared" si="7"/>
        <v>59624.85856269113</v>
      </c>
      <c r="F50" s="3">
        <f>R5</f>
        <v>0.6</v>
      </c>
      <c r="G50" s="14">
        <f t="shared" si="5"/>
        <v>35774.915137614676</v>
      </c>
      <c r="L50" s="9">
        <v>4</v>
      </c>
      <c r="M50" s="9"/>
      <c r="N50" s="33">
        <f t="shared" si="8"/>
        <v>397.04907033639142</v>
      </c>
      <c r="O50" s="39">
        <f t="shared" si="6"/>
        <v>397.04907033639142</v>
      </c>
    </row>
    <row r="51" spans="2:15" x14ac:dyDescent="0.25">
      <c r="D51" s="3"/>
      <c r="E51" s="3"/>
      <c r="F51" s="3"/>
      <c r="G51" s="3"/>
      <c r="L51" s="9">
        <v>5</v>
      </c>
      <c r="M51" s="9"/>
      <c r="N51" s="33">
        <f t="shared" si="8"/>
        <v>397.04907033639142</v>
      </c>
      <c r="O51" s="39">
        <f t="shared" si="6"/>
        <v>397.04907033639142</v>
      </c>
    </row>
    <row r="52" spans="2:15" x14ac:dyDescent="0.25">
      <c r="B52" s="27" t="s">
        <v>12</v>
      </c>
      <c r="C52" s="27"/>
      <c r="D52" s="12">
        <f>SUM(D53:D56)</f>
        <v>1</v>
      </c>
      <c r="E52" s="11">
        <f>2500/H7</f>
        <v>764.52599388379201</v>
      </c>
      <c r="F52" s="3"/>
      <c r="G52" s="11">
        <f>SUM(G53:G56)</f>
        <v>590.90214067278271</v>
      </c>
      <c r="L52" s="9">
        <v>6</v>
      </c>
      <c r="M52" s="9"/>
      <c r="N52" s="33">
        <f t="shared" si="8"/>
        <v>397.04907033639142</v>
      </c>
      <c r="O52" s="39">
        <f t="shared" si="6"/>
        <v>397.04907033639142</v>
      </c>
    </row>
    <row r="53" spans="2:15" x14ac:dyDescent="0.25">
      <c r="C53" t="s">
        <v>8</v>
      </c>
      <c r="D53" s="13">
        <v>0.7</v>
      </c>
      <c r="E53" s="14">
        <f>D53*$E$52</f>
        <v>535.16819571865437</v>
      </c>
      <c r="F53" s="3">
        <f>R2</f>
        <v>0.84699999999999998</v>
      </c>
      <c r="G53" s="14">
        <f t="shared" ref="G53:G56" si="9">E53*F53</f>
        <v>453.28746177370022</v>
      </c>
      <c r="L53" s="9">
        <v>7</v>
      </c>
      <c r="M53" s="9"/>
      <c r="N53" s="33">
        <f t="shared" si="8"/>
        <v>397.04907033639142</v>
      </c>
      <c r="O53" s="39">
        <f t="shared" si="6"/>
        <v>397.04907033639142</v>
      </c>
    </row>
    <row r="54" spans="2:15" x14ac:dyDescent="0.25">
      <c r="C54" t="s">
        <v>9</v>
      </c>
      <c r="D54" s="13">
        <v>0</v>
      </c>
      <c r="E54" s="14">
        <f t="shared" ref="E54:E56" si="10">D54*$E$52</f>
        <v>0</v>
      </c>
      <c r="F54" s="3">
        <f>R3</f>
        <v>0.86799999999999999</v>
      </c>
      <c r="G54" s="14">
        <f t="shared" si="9"/>
        <v>0</v>
      </c>
      <c r="L54" s="9">
        <v>8</v>
      </c>
      <c r="M54" s="9"/>
      <c r="N54" s="33">
        <f t="shared" si="8"/>
        <v>397.04907033639142</v>
      </c>
      <c r="O54" s="39">
        <f t="shared" si="6"/>
        <v>397.04907033639142</v>
      </c>
    </row>
    <row r="55" spans="2:15" x14ac:dyDescent="0.25">
      <c r="C55" t="s">
        <v>10</v>
      </c>
      <c r="D55" s="13">
        <v>0</v>
      </c>
      <c r="E55" s="14">
        <f t="shared" si="10"/>
        <v>0</v>
      </c>
      <c r="F55" s="3">
        <f>R4</f>
        <v>0.90900000000000003</v>
      </c>
      <c r="G55" s="14">
        <f t="shared" si="9"/>
        <v>0</v>
      </c>
      <c r="L55" s="9">
        <v>9</v>
      </c>
      <c r="M55" s="9"/>
      <c r="N55" s="33">
        <f t="shared" si="8"/>
        <v>397.04907033639142</v>
      </c>
      <c r="O55" s="39">
        <f t="shared" si="6"/>
        <v>397.04907033639142</v>
      </c>
    </row>
    <row r="56" spans="2:15" x14ac:dyDescent="0.25">
      <c r="C56" t="s">
        <v>11</v>
      </c>
      <c r="D56" s="13">
        <v>0.3</v>
      </c>
      <c r="E56" s="14">
        <f t="shared" si="10"/>
        <v>229.35779816513761</v>
      </c>
      <c r="F56" s="3">
        <f>R5</f>
        <v>0.6</v>
      </c>
      <c r="G56" s="14">
        <f t="shared" si="9"/>
        <v>137.61467889908255</v>
      </c>
      <c r="L56" s="9">
        <v>10</v>
      </c>
      <c r="M56" s="9"/>
      <c r="N56" s="33">
        <f t="shared" si="8"/>
        <v>397.04907033639142</v>
      </c>
      <c r="O56" s="39">
        <f t="shared" si="6"/>
        <v>397.04907033639142</v>
      </c>
    </row>
    <row r="57" spans="2:15" x14ac:dyDescent="0.25">
      <c r="D57" s="3"/>
      <c r="E57" s="3"/>
      <c r="F57" s="3"/>
      <c r="G57" s="3"/>
    </row>
    <row r="58" spans="2:15" ht="15" customHeight="1" x14ac:dyDescent="0.25">
      <c r="B58" s="28" t="s">
        <v>13</v>
      </c>
      <c r="C58" s="28"/>
      <c r="D58" s="12">
        <f>SUM(D59:D62)</f>
        <v>1</v>
      </c>
      <c r="E58" s="11">
        <f>2000/H7</f>
        <v>611.62079510703359</v>
      </c>
      <c r="F58" s="3"/>
      <c r="G58" s="11">
        <f>SUM(G59:G62)</f>
        <v>544.58715596330262</v>
      </c>
      <c r="N58" s="9" t="s">
        <v>30</v>
      </c>
      <c r="O58" s="43">
        <f>NPV(10%,O47:O56)+O46</f>
        <v>267549.7416424136</v>
      </c>
    </row>
    <row r="59" spans="2:15" x14ac:dyDescent="0.25">
      <c r="C59" t="s">
        <v>8</v>
      </c>
      <c r="D59" s="13">
        <v>0.3</v>
      </c>
      <c r="E59" s="14">
        <f>D59*$E$58</f>
        <v>183.48623853211006</v>
      </c>
      <c r="F59" s="3">
        <f>R2</f>
        <v>0.84699999999999998</v>
      </c>
      <c r="G59" s="3">
        <f t="shared" ref="G59:G66" si="11">E59*F59</f>
        <v>155.41284403669721</v>
      </c>
      <c r="N59" s="9" t="s">
        <v>31</v>
      </c>
      <c r="O59" s="33">
        <f>O58/$D$5</f>
        <v>142.6931955426206</v>
      </c>
    </row>
    <row r="60" spans="2:15" x14ac:dyDescent="0.25">
      <c r="C60" t="s">
        <v>9</v>
      </c>
      <c r="D60" s="13">
        <v>0</v>
      </c>
      <c r="E60" s="14">
        <f t="shared" ref="E60:E62" si="12">D60*$E$58</f>
        <v>0</v>
      </c>
      <c r="F60" s="3">
        <f>R3</f>
        <v>0.86799999999999999</v>
      </c>
      <c r="G60" s="3">
        <f t="shared" si="11"/>
        <v>0</v>
      </c>
    </row>
    <row r="61" spans="2:15" x14ac:dyDescent="0.25">
      <c r="C61" t="s">
        <v>10</v>
      </c>
      <c r="D61" s="13">
        <v>0.7</v>
      </c>
      <c r="E61" s="14">
        <f t="shared" si="12"/>
        <v>428.13455657492347</v>
      </c>
      <c r="F61" s="3">
        <f>R4</f>
        <v>0.90900000000000003</v>
      </c>
      <c r="G61" s="3">
        <f t="shared" si="11"/>
        <v>389.17431192660547</v>
      </c>
    </row>
    <row r="62" spans="2:15" x14ac:dyDescent="0.25">
      <c r="C62" t="s">
        <v>11</v>
      </c>
      <c r="D62" s="13">
        <v>0</v>
      </c>
      <c r="E62" s="14">
        <f t="shared" si="12"/>
        <v>0</v>
      </c>
      <c r="F62" s="3">
        <f>R5</f>
        <v>0.6</v>
      </c>
      <c r="G62" s="3">
        <f t="shared" si="11"/>
        <v>0</v>
      </c>
    </row>
    <row r="63" spans="2:15" x14ac:dyDescent="0.25">
      <c r="D63" s="3"/>
      <c r="E63" s="3"/>
      <c r="F63" s="3"/>
      <c r="G63" s="3">
        <f t="shared" si="11"/>
        <v>0</v>
      </c>
    </row>
    <row r="64" spans="2:15" x14ac:dyDescent="0.25">
      <c r="B64" s="20" t="s">
        <v>14</v>
      </c>
      <c r="C64" s="20"/>
      <c r="D64" s="3"/>
      <c r="E64" s="11">
        <f>21085.24/H7</f>
        <v>6448.0856269113156</v>
      </c>
      <c r="F64" s="3">
        <f>R4</f>
        <v>0.90900000000000003</v>
      </c>
      <c r="G64" s="11">
        <f>E64*F64</f>
        <v>5861.3098348623862</v>
      </c>
    </row>
    <row r="65" spans="2:7" x14ac:dyDescent="0.25">
      <c r="B65" s="20" t="s">
        <v>15</v>
      </c>
      <c r="C65" s="20"/>
      <c r="D65" s="3"/>
      <c r="E65" s="11">
        <f>196117.3/H7</f>
        <v>59974.709480122321</v>
      </c>
      <c r="F65" s="3">
        <f>R2</f>
        <v>0.84699999999999998</v>
      </c>
      <c r="G65" s="11">
        <f t="shared" si="11"/>
        <v>50798.578929663607</v>
      </c>
    </row>
    <row r="66" spans="2:7" x14ac:dyDescent="0.25">
      <c r="B66" s="21" t="s">
        <v>16</v>
      </c>
      <c r="C66" s="21"/>
      <c r="D66" s="6"/>
      <c r="E66" s="15">
        <f>62751.45/H7</f>
        <v>19190.045871559632</v>
      </c>
      <c r="F66" s="19">
        <v>0.76900000000000002</v>
      </c>
      <c r="G66" s="15">
        <f t="shared" si="11"/>
        <v>14757.145275229357</v>
      </c>
    </row>
    <row r="67" spans="2:7" x14ac:dyDescent="0.25">
      <c r="D67" s="3"/>
      <c r="E67" s="16">
        <f>E44+E45+E64+E65+E66</f>
        <v>328852.33639143733</v>
      </c>
      <c r="F67" s="3"/>
      <c r="G67" s="16">
        <f>G44+G45+G64+G65+G66</f>
        <v>265110.04698547401</v>
      </c>
    </row>
    <row r="70" spans="2:7" x14ac:dyDescent="0.25">
      <c r="C70" s="22" t="s">
        <v>21</v>
      </c>
      <c r="D70" s="23"/>
      <c r="E70" s="10">
        <f>E67</f>
        <v>328852.33639143733</v>
      </c>
    </row>
    <row r="71" spans="2:7" x14ac:dyDescent="0.25">
      <c r="C71" s="22" t="s">
        <v>22</v>
      </c>
      <c r="D71" s="23"/>
      <c r="E71" s="10">
        <f>G67</f>
        <v>265110.04698547401</v>
      </c>
    </row>
  </sheetData>
  <mergeCells count="24">
    <mergeCell ref="L10:L12"/>
    <mergeCell ref="M9:N9"/>
    <mergeCell ref="B12:C12"/>
    <mergeCell ref="B18:C18"/>
    <mergeCell ref="B24:C24"/>
    <mergeCell ref="B11:C11"/>
    <mergeCell ref="B10:C10"/>
    <mergeCell ref="B58:C58"/>
    <mergeCell ref="B30:C30"/>
    <mergeCell ref="B31:C31"/>
    <mergeCell ref="B32:C32"/>
    <mergeCell ref="B9:C9"/>
    <mergeCell ref="C36:D36"/>
    <mergeCell ref="C37:D37"/>
    <mergeCell ref="B43:C43"/>
    <mergeCell ref="B44:C44"/>
    <mergeCell ref="B45:C45"/>
    <mergeCell ref="B46:C46"/>
    <mergeCell ref="B52:C52"/>
    <mergeCell ref="B64:C64"/>
    <mergeCell ref="B65:C65"/>
    <mergeCell ref="B66:C66"/>
    <mergeCell ref="C70:D70"/>
    <mergeCell ref="C71:D7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</dc:creator>
  <cp:lastModifiedBy>Luis</cp:lastModifiedBy>
  <dcterms:created xsi:type="dcterms:W3CDTF">2018-06-08T19:24:52Z</dcterms:created>
  <dcterms:modified xsi:type="dcterms:W3CDTF">2018-06-11T23:19:11Z</dcterms:modified>
</cp:coreProperties>
</file>