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JERCICIOS LIBRO PROYECTOS BORRADOR\11 COSAPI-FERREYCORP\"/>
    </mc:Choice>
  </mc:AlternateContent>
  <bookViews>
    <workbookView xWindow="0" yWindow="0" windowWidth="24000" windowHeight="9135"/>
  </bookViews>
  <sheets>
    <sheet name="BALANCE Y GANANCIAS Y PERDIDAS" sheetId="1" r:id="rId1"/>
  </sheets>
  <externalReferences>
    <externalReference r:id="rId2"/>
  </externalReferences>
  <definedNames>
    <definedName name="_xlnm.Print_Area">'[1]Sup. Especifico'!$A$7:$L$80</definedName>
    <definedName name="Area1">[1]Depreciación!$A$1:$N$95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5000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"miModelo"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7" i="1" l="1"/>
  <c r="P76" i="1"/>
  <c r="P75" i="1"/>
  <c r="P69" i="1"/>
  <c r="Q69" i="1"/>
  <c r="R69" i="1"/>
  <c r="S69" i="1"/>
  <c r="P70" i="1"/>
  <c r="Q70" i="1"/>
  <c r="R70" i="1"/>
  <c r="S70" i="1"/>
  <c r="Q68" i="1"/>
  <c r="R68" i="1"/>
  <c r="S68" i="1"/>
  <c r="P68" i="1"/>
  <c r="Q67" i="1"/>
  <c r="R67" i="1"/>
  <c r="S67" i="1"/>
  <c r="P67" i="1"/>
  <c r="P64" i="1"/>
  <c r="P63" i="1"/>
  <c r="P62" i="1"/>
  <c r="P61" i="1"/>
  <c r="P60" i="1"/>
  <c r="Q58" i="1"/>
  <c r="R58" i="1"/>
  <c r="S58" i="1"/>
  <c r="P58" i="1"/>
  <c r="Q20" i="1"/>
  <c r="R20" i="1"/>
  <c r="S20" i="1"/>
  <c r="P20" i="1"/>
  <c r="Q19" i="1"/>
  <c r="R19" i="1"/>
  <c r="S19" i="1"/>
  <c r="P19" i="1"/>
  <c r="Q18" i="1"/>
  <c r="R18" i="1"/>
  <c r="S18" i="1"/>
  <c r="P18" i="1"/>
  <c r="J43" i="1"/>
  <c r="K43" i="1"/>
  <c r="L43" i="1"/>
  <c r="Q17" i="1"/>
  <c r="R17" i="1"/>
  <c r="S17" i="1"/>
  <c r="P17" i="1"/>
  <c r="Q81" i="1" l="1"/>
  <c r="R81" i="1"/>
  <c r="S81" i="1"/>
  <c r="P81" i="1"/>
  <c r="Q79" i="1"/>
  <c r="Q82" i="1" s="1"/>
  <c r="Q83" i="1" s="1"/>
  <c r="R79" i="1"/>
  <c r="R82" i="1" s="1"/>
  <c r="S79" i="1"/>
  <c r="S82" i="1" s="1"/>
  <c r="S83" i="1" s="1"/>
  <c r="P79" i="1"/>
  <c r="P82" i="1" s="1"/>
  <c r="Q76" i="1"/>
  <c r="R76" i="1"/>
  <c r="S76" i="1"/>
  <c r="R83" i="1" l="1"/>
  <c r="P83" i="1"/>
  <c r="O64" i="1"/>
  <c r="O63" i="1"/>
  <c r="Q63" i="1"/>
  <c r="R63" i="1"/>
  <c r="S63" i="1"/>
  <c r="Q61" i="1"/>
  <c r="R61" i="1"/>
  <c r="S61" i="1"/>
  <c r="I62" i="1"/>
  <c r="F109" i="1"/>
  <c r="F104" i="1"/>
  <c r="F102" i="1"/>
  <c r="F98" i="1"/>
  <c r="F100" i="1" s="1"/>
  <c r="F97" i="1"/>
  <c r="F99" i="1" s="1"/>
  <c r="F94" i="1"/>
  <c r="F93" i="1"/>
  <c r="E93" i="1"/>
  <c r="D93" i="1"/>
  <c r="C93" i="1"/>
  <c r="B93" i="1"/>
  <c r="F82" i="1"/>
  <c r="E82" i="1"/>
  <c r="D82" i="1"/>
  <c r="C82" i="1"/>
  <c r="B82" i="1"/>
  <c r="F81" i="1"/>
  <c r="B81" i="1"/>
  <c r="F77" i="1"/>
  <c r="F76" i="1"/>
  <c r="F71" i="1"/>
  <c r="F70" i="1"/>
  <c r="F72" i="1" s="1"/>
  <c r="F66" i="1"/>
  <c r="F65" i="1"/>
  <c r="L62" i="1"/>
  <c r="K62" i="1"/>
  <c r="J62" i="1"/>
  <c r="Q59" i="1" s="1"/>
  <c r="Q60" i="1" s="1"/>
  <c r="F61" i="1"/>
  <c r="E61" i="1"/>
  <c r="D61" i="1"/>
  <c r="C61" i="1"/>
  <c r="B61" i="1"/>
  <c r="L59" i="1"/>
  <c r="E66" i="1" s="1"/>
  <c r="K59" i="1"/>
  <c r="D66" i="1" s="1"/>
  <c r="J59" i="1"/>
  <c r="C66" i="1" s="1"/>
  <c r="I59" i="1"/>
  <c r="B66" i="1" s="1"/>
  <c r="L52" i="1"/>
  <c r="E19" i="1" s="1"/>
  <c r="E20" i="1" s="1"/>
  <c r="K52" i="1"/>
  <c r="D19" i="1" s="1"/>
  <c r="D20" i="1" s="1"/>
  <c r="J52" i="1"/>
  <c r="C19" i="1" s="1"/>
  <c r="C20" i="1" s="1"/>
  <c r="I52" i="1"/>
  <c r="F52" i="1"/>
  <c r="E52" i="1"/>
  <c r="D52" i="1"/>
  <c r="C52" i="1"/>
  <c r="B52" i="1"/>
  <c r="F48" i="1"/>
  <c r="E48" i="1"/>
  <c r="D48" i="1"/>
  <c r="D51" i="1" s="1"/>
  <c r="C48" i="1"/>
  <c r="C51" i="1" s="1"/>
  <c r="B48" i="1"/>
  <c r="B51" i="1" s="1"/>
  <c r="B53" i="1" s="1"/>
  <c r="B58" i="1" s="1"/>
  <c r="B59" i="1" s="1"/>
  <c r="F47" i="1"/>
  <c r="C47" i="1"/>
  <c r="F44" i="1"/>
  <c r="F62" i="1" s="1"/>
  <c r="F63" i="1" s="1"/>
  <c r="F43" i="1"/>
  <c r="E43" i="1"/>
  <c r="D43" i="1"/>
  <c r="C43" i="1"/>
  <c r="B43" i="1"/>
  <c r="L42" i="1"/>
  <c r="E98" i="1" s="1"/>
  <c r="K42" i="1"/>
  <c r="D98" i="1" s="1"/>
  <c r="J42" i="1"/>
  <c r="C98" i="1" s="1"/>
  <c r="I42" i="1"/>
  <c r="L37" i="1"/>
  <c r="E97" i="1" s="1"/>
  <c r="K37" i="1"/>
  <c r="D33" i="1" s="1"/>
  <c r="D38" i="1" s="1"/>
  <c r="J37" i="1"/>
  <c r="C97" i="1" s="1"/>
  <c r="I37" i="1"/>
  <c r="B97" i="1" s="1"/>
  <c r="F37" i="1"/>
  <c r="E37" i="1"/>
  <c r="D37" i="1"/>
  <c r="C37" i="1"/>
  <c r="B37" i="1"/>
  <c r="F36" i="1"/>
  <c r="E36" i="1"/>
  <c r="D36" i="1"/>
  <c r="C36" i="1"/>
  <c r="B36" i="1"/>
  <c r="F33" i="1"/>
  <c r="F38" i="1" s="1"/>
  <c r="C33" i="1"/>
  <c r="C38" i="1" s="1"/>
  <c r="F32" i="1"/>
  <c r="F27" i="1"/>
  <c r="E27" i="1"/>
  <c r="D27" i="1"/>
  <c r="C27" i="1"/>
  <c r="B27" i="1"/>
  <c r="L26" i="1"/>
  <c r="K26" i="1"/>
  <c r="J26" i="1"/>
  <c r="I26" i="1"/>
  <c r="F24" i="1"/>
  <c r="F26" i="1" s="1"/>
  <c r="F28" i="1" s="1"/>
  <c r="F22" i="1"/>
  <c r="L19" i="1"/>
  <c r="E32" i="1" s="1"/>
  <c r="K19" i="1"/>
  <c r="D32" i="1" s="1"/>
  <c r="J19" i="1"/>
  <c r="C32" i="1" s="1"/>
  <c r="I19" i="1"/>
  <c r="F19" i="1"/>
  <c r="F20" i="1" s="1"/>
  <c r="F14" i="1"/>
  <c r="F16" i="1" s="1"/>
  <c r="F11" i="1"/>
  <c r="E11" i="1"/>
  <c r="D11" i="1"/>
  <c r="C11" i="1"/>
  <c r="B11" i="1"/>
  <c r="Q62" i="1" l="1"/>
  <c r="Q64" i="1" s="1"/>
  <c r="Q75" i="1"/>
  <c r="E14" i="1"/>
  <c r="E16" i="1" s="1"/>
  <c r="S59" i="1"/>
  <c r="S60" i="1" s="1"/>
  <c r="D14" i="1"/>
  <c r="D16" i="1" s="1"/>
  <c r="R59" i="1"/>
  <c r="R60" i="1" s="1"/>
  <c r="B47" i="1"/>
  <c r="P59" i="1"/>
  <c r="F83" i="1"/>
  <c r="D47" i="1"/>
  <c r="D109" i="1"/>
  <c r="E47" i="1"/>
  <c r="E49" i="1" s="1"/>
  <c r="C109" i="1"/>
  <c r="F49" i="1"/>
  <c r="B83" i="1"/>
  <c r="L27" i="1"/>
  <c r="E94" i="1" s="1"/>
  <c r="E88" i="1" s="1"/>
  <c r="E90" i="1" s="1"/>
  <c r="E95" i="1" s="1"/>
  <c r="B33" i="1"/>
  <c r="B38" i="1" s="1"/>
  <c r="B39" i="1" s="1"/>
  <c r="E33" i="1"/>
  <c r="E38" i="1" s="1"/>
  <c r="C53" i="1"/>
  <c r="C58" i="1" s="1"/>
  <c r="C59" i="1" s="1"/>
  <c r="E76" i="1"/>
  <c r="B44" i="1"/>
  <c r="B62" i="1" s="1"/>
  <c r="B63" i="1" s="1"/>
  <c r="B49" i="1"/>
  <c r="F78" i="1"/>
  <c r="E81" i="1"/>
  <c r="E83" i="1" s="1"/>
  <c r="F101" i="1"/>
  <c r="D53" i="1"/>
  <c r="D58" i="1" s="1"/>
  <c r="D59" i="1" s="1"/>
  <c r="F39" i="1"/>
  <c r="C39" i="1"/>
  <c r="C49" i="1"/>
  <c r="F34" i="1"/>
  <c r="F88" i="1"/>
  <c r="F90" i="1" s="1"/>
  <c r="F95" i="1" s="1"/>
  <c r="D34" i="1"/>
  <c r="J27" i="1"/>
  <c r="C24" i="1" s="1"/>
  <c r="C26" i="1" s="1"/>
  <c r="C28" i="1" s="1"/>
  <c r="D70" i="1"/>
  <c r="J65" i="1"/>
  <c r="J69" i="1" s="1"/>
  <c r="C22" i="1" s="1"/>
  <c r="F74" i="1"/>
  <c r="C81" i="1"/>
  <c r="C83" i="1" s="1"/>
  <c r="C34" i="1"/>
  <c r="J53" i="1"/>
  <c r="C104" i="1" s="1"/>
  <c r="E102" i="1"/>
  <c r="K27" i="1"/>
  <c r="D65" i="1" s="1"/>
  <c r="D67" i="1" s="1"/>
  <c r="C44" i="1"/>
  <c r="C62" i="1" s="1"/>
  <c r="C63" i="1" s="1"/>
  <c r="F67" i="1"/>
  <c r="C76" i="1"/>
  <c r="E39" i="1"/>
  <c r="F45" i="1"/>
  <c r="F55" i="1" s="1"/>
  <c r="F56" i="1" s="1"/>
  <c r="E34" i="1"/>
  <c r="D49" i="1"/>
  <c r="D39" i="1"/>
  <c r="D44" i="1"/>
  <c r="D62" i="1" s="1"/>
  <c r="D63" i="1" s="1"/>
  <c r="L65" i="1"/>
  <c r="L69" i="1" s="1"/>
  <c r="L76" i="1" s="1"/>
  <c r="L78" i="1" s="1"/>
  <c r="L80" i="1" s="1"/>
  <c r="D76" i="1"/>
  <c r="C65" i="1"/>
  <c r="C67" i="1" s="1"/>
  <c r="D102" i="1"/>
  <c r="D77" i="1"/>
  <c r="J76" i="1"/>
  <c r="J78" i="1" s="1"/>
  <c r="J80" i="1" s="1"/>
  <c r="E71" i="1"/>
  <c r="E24" i="1"/>
  <c r="E26" i="1" s="1"/>
  <c r="E28" i="1" s="1"/>
  <c r="B109" i="1"/>
  <c r="D100" i="1"/>
  <c r="I65" i="1"/>
  <c r="I69" i="1" s="1"/>
  <c r="I76" i="1" s="1"/>
  <c r="I78" i="1" s="1"/>
  <c r="I27" i="1"/>
  <c r="E44" i="1"/>
  <c r="E62" i="1" s="1"/>
  <c r="E63" i="1" s="1"/>
  <c r="C14" i="1"/>
  <c r="C16" i="1" s="1"/>
  <c r="B32" i="1"/>
  <c r="I43" i="1"/>
  <c r="I53" i="1" s="1"/>
  <c r="B104" i="1" s="1"/>
  <c r="E51" i="1"/>
  <c r="E53" i="1" s="1"/>
  <c r="E58" i="1" s="1"/>
  <c r="E59" i="1" s="1"/>
  <c r="K65" i="1"/>
  <c r="K69" i="1" s="1"/>
  <c r="B14" i="1"/>
  <c r="B16" i="1" s="1"/>
  <c r="B19" i="1"/>
  <c r="B20" i="1" s="1"/>
  <c r="F51" i="1"/>
  <c r="F53" i="1" s="1"/>
  <c r="F58" i="1" s="1"/>
  <c r="F59" i="1" s="1"/>
  <c r="D81" i="1"/>
  <c r="D83" i="1" s="1"/>
  <c r="D97" i="1"/>
  <c r="D99" i="1" s="1"/>
  <c r="L53" i="1"/>
  <c r="E104" i="1" s="1"/>
  <c r="B76" i="1"/>
  <c r="B98" i="1"/>
  <c r="B100" i="1" s="1"/>
  <c r="Q78" i="1" l="1"/>
  <c r="Q80" i="1" s="1"/>
  <c r="Q77" i="1"/>
  <c r="R62" i="1"/>
  <c r="R64" i="1" s="1"/>
  <c r="R75" i="1"/>
  <c r="S62" i="1"/>
  <c r="S64" i="1" s="1"/>
  <c r="S75" i="1"/>
  <c r="F106" i="1"/>
  <c r="E77" i="1"/>
  <c r="E78" i="1" s="1"/>
  <c r="C94" i="1"/>
  <c r="C88" i="1" s="1"/>
  <c r="C90" i="1" s="1"/>
  <c r="C95" i="1" s="1"/>
  <c r="B45" i="1"/>
  <c r="B55" i="1" s="1"/>
  <c r="B56" i="1" s="1"/>
  <c r="E99" i="1"/>
  <c r="B34" i="1"/>
  <c r="E70" i="1"/>
  <c r="E74" i="1" s="1"/>
  <c r="D78" i="1"/>
  <c r="C71" i="1"/>
  <c r="D45" i="1"/>
  <c r="D55" i="1" s="1"/>
  <c r="D56" i="1" s="1"/>
  <c r="C99" i="1"/>
  <c r="D71" i="1"/>
  <c r="D72" i="1" s="1"/>
  <c r="E109" i="1"/>
  <c r="D94" i="1"/>
  <c r="D88" i="1" s="1"/>
  <c r="D90" i="1" s="1"/>
  <c r="D95" i="1" s="1"/>
  <c r="C45" i="1"/>
  <c r="C55" i="1" s="1"/>
  <c r="C56" i="1" s="1"/>
  <c r="E65" i="1"/>
  <c r="E67" i="1" s="1"/>
  <c r="K53" i="1"/>
  <c r="D104" i="1" s="1"/>
  <c r="C102" i="1"/>
  <c r="C100" i="1"/>
  <c r="E22" i="1"/>
  <c r="D24" i="1"/>
  <c r="D26" i="1" s="1"/>
  <c r="D28" i="1" s="1"/>
  <c r="C77" i="1"/>
  <c r="C78" i="1" s="1"/>
  <c r="C70" i="1"/>
  <c r="C74" i="1" s="1"/>
  <c r="E100" i="1"/>
  <c r="D101" i="1"/>
  <c r="B24" i="1"/>
  <c r="B26" i="1" s="1"/>
  <c r="B28" i="1" s="1"/>
  <c r="B71" i="1"/>
  <c r="B94" i="1"/>
  <c r="B88" i="1" s="1"/>
  <c r="B90" i="1" s="1"/>
  <c r="B95" i="1" s="1"/>
  <c r="B65" i="1"/>
  <c r="B67" i="1" s="1"/>
  <c r="E72" i="1"/>
  <c r="K76" i="1"/>
  <c r="K78" i="1" s="1"/>
  <c r="K80" i="1" s="1"/>
  <c r="D22" i="1"/>
  <c r="B22" i="1"/>
  <c r="E45" i="1"/>
  <c r="E55" i="1" s="1"/>
  <c r="E56" i="1" s="1"/>
  <c r="B77" i="1"/>
  <c r="B78" i="1" s="1"/>
  <c r="B102" i="1"/>
  <c r="B70" i="1"/>
  <c r="B99" i="1"/>
  <c r="B101" i="1" s="1"/>
  <c r="D74" i="1"/>
  <c r="S77" i="1" l="1"/>
  <c r="S78" i="1"/>
  <c r="S80" i="1" s="1"/>
  <c r="R78" i="1"/>
  <c r="R80" i="1" s="1"/>
  <c r="R77" i="1"/>
  <c r="P78" i="1"/>
  <c r="P80" i="1" s="1"/>
  <c r="C72" i="1"/>
  <c r="E101" i="1"/>
  <c r="E106" i="1" s="1"/>
  <c r="I80" i="1"/>
  <c r="C101" i="1"/>
  <c r="C106" i="1" s="1"/>
  <c r="D106" i="1"/>
  <c r="B106" i="1"/>
  <c r="B72" i="1"/>
  <c r="B74" i="1"/>
</calcChain>
</file>

<file path=xl/sharedStrings.xml><?xml version="1.0" encoding="utf-8"?>
<sst xmlns="http://schemas.openxmlformats.org/spreadsheetml/2006/main" count="212" uniqueCount="159">
  <si>
    <t>Indicadores Financieros</t>
  </si>
  <si>
    <t>Dic. 11</t>
  </si>
  <si>
    <t>Dic. 12</t>
  </si>
  <si>
    <t>Dic. 13</t>
  </si>
  <si>
    <t>Dic. 14</t>
  </si>
  <si>
    <t>Dic. 15</t>
  </si>
  <si>
    <t>Cosapi S. A y Subsidiarias</t>
  </si>
  <si>
    <t>BALANCE GENERAL</t>
  </si>
  <si>
    <t>INDICE DE RENTABILIDAD</t>
  </si>
  <si>
    <t>(En miles de soles)</t>
  </si>
  <si>
    <t>Resultado sobre Ventas (ROS)</t>
  </si>
  <si>
    <t>Dic. 16</t>
  </si>
  <si>
    <t>Resultado del Ejercicio</t>
  </si>
  <si>
    <t>Ingresos por Ventas</t>
  </si>
  <si>
    <t>ACTIVOS</t>
  </si>
  <si>
    <t>ROS</t>
  </si>
  <si>
    <t>Activo Corriente</t>
  </si>
  <si>
    <t>Márgen Bruto</t>
  </si>
  <si>
    <t>Caja Bancos</t>
  </si>
  <si>
    <t>Ingreso por Ventas</t>
  </si>
  <si>
    <t>Cuentas por Cobrar Comerciales</t>
  </si>
  <si>
    <t>Costo de Ventas</t>
  </si>
  <si>
    <t>Cuentas por Cobrar a Relacionadas</t>
  </si>
  <si>
    <t>Otras Cuentas por Cobrar</t>
  </si>
  <si>
    <t>MB</t>
  </si>
  <si>
    <t>Existencias</t>
  </si>
  <si>
    <t>ROE</t>
  </si>
  <si>
    <t>Ingreso de Obras en Ejecución por Facturar</t>
  </si>
  <si>
    <t>Otros Activos</t>
  </si>
  <si>
    <t>TOTAL ACTIVOS</t>
  </si>
  <si>
    <t>Patrimonio</t>
  </si>
  <si>
    <t>Total Activo Corriente</t>
  </si>
  <si>
    <t>TOTAL PASIVO</t>
  </si>
  <si>
    <t>TOTAL PATRIMONIO NETO</t>
  </si>
  <si>
    <t>ROA</t>
  </si>
  <si>
    <t>Inversiones Financieras</t>
  </si>
  <si>
    <t>TOTAL PASIVO Y PATRIMONIO</t>
  </si>
  <si>
    <t>Resultado Operacional</t>
  </si>
  <si>
    <t>Negocios Conjuntos</t>
  </si>
  <si>
    <t>Tasa</t>
  </si>
  <si>
    <t>Disponibles para la venta</t>
  </si>
  <si>
    <t>Activos Promedio</t>
  </si>
  <si>
    <t>Instalaciones, Maquinaria y Equipo</t>
  </si>
  <si>
    <t>Activos</t>
  </si>
  <si>
    <t>Total Activo No Corriente</t>
  </si>
  <si>
    <t>Activos Prescindibles</t>
  </si>
  <si>
    <t>ROIC</t>
  </si>
  <si>
    <t>PASIVOS</t>
  </si>
  <si>
    <t>Pasivo Corriente</t>
  </si>
  <si>
    <t>INDICE DE LIQUIDEZ</t>
  </si>
  <si>
    <t>Sobregiros y Préstamos Bancarios</t>
  </si>
  <si>
    <t>Razón Circulante</t>
  </si>
  <si>
    <t>Cuentas por Pagar Comerciales</t>
  </si>
  <si>
    <t>Activo Circulante</t>
  </si>
  <si>
    <t>Adelanto de Clientes</t>
  </si>
  <si>
    <t>Pasivo Circulante</t>
  </si>
  <si>
    <t>Cuentas por Pagar a Relacionadas</t>
  </si>
  <si>
    <t>RC</t>
  </si>
  <si>
    <t>Otras Cuentas por Pagar</t>
  </si>
  <si>
    <t>Razón Ácida</t>
  </si>
  <si>
    <t xml:space="preserve">Parte Corriente Deuda de Largo Plazo </t>
  </si>
  <si>
    <t>Caja</t>
  </si>
  <si>
    <t>Facturación en exceso de costos y utilidades estimadas de obras en ejecución</t>
  </si>
  <si>
    <t>Valores Negociables</t>
  </si>
  <si>
    <t>Total Pasivo Corriente</t>
  </si>
  <si>
    <t>Obligaciones Financieras</t>
  </si>
  <si>
    <t>RA</t>
  </si>
  <si>
    <t>Adelanto de Clientes a Largo Plazo</t>
  </si>
  <si>
    <t>Cuentas por Pagar a Relacionadas a Largo Plazo</t>
  </si>
  <si>
    <t>INDICE DE ACTIVIDAD Y ROTACIÓN</t>
  </si>
  <si>
    <t>Otros Pasivos</t>
  </si>
  <si>
    <t>Rotación de Cuentas por Cobrar</t>
  </si>
  <si>
    <t>Total Pasivo no Corriente</t>
  </si>
  <si>
    <t>Cuentas por cobrar promedio</t>
  </si>
  <si>
    <t>Ingresos por  Venta</t>
  </si>
  <si>
    <t>Capital social</t>
  </si>
  <si>
    <t>Capital Adicional</t>
  </si>
  <si>
    <t>Rotación de Existencia</t>
  </si>
  <si>
    <t>Ganancia no Realizada</t>
  </si>
  <si>
    <t>Resultado por Conversión</t>
  </si>
  <si>
    <t>Existencias Promedio</t>
  </si>
  <si>
    <t>Reserva Legal</t>
  </si>
  <si>
    <t>RE</t>
  </si>
  <si>
    <t>Otras Reservas</t>
  </si>
  <si>
    <t>Rotación de Cuentas por Pagar</t>
  </si>
  <si>
    <t>Compras por mercadería</t>
  </si>
  <si>
    <t>Resultados Acumulados</t>
  </si>
  <si>
    <t>Cuentas por pagar promedio</t>
  </si>
  <si>
    <t>RCP</t>
  </si>
  <si>
    <t>Plazo Promedio de Cuentas por Cobrar</t>
  </si>
  <si>
    <t>ESTADO DE GANANCIAS Y PERDIDAS</t>
  </si>
  <si>
    <t>Ventas Netas</t>
  </si>
  <si>
    <t>Rotación del Capital de Trabajo</t>
  </si>
  <si>
    <t>Ingresos por Obras</t>
  </si>
  <si>
    <t>Capital de Trabajo Promedio</t>
  </si>
  <si>
    <t>Ingresos por ventas de servicios</t>
  </si>
  <si>
    <t>Costo de Obras</t>
  </si>
  <si>
    <t>Rotación de los Activos</t>
  </si>
  <si>
    <t>Costo de Servicios</t>
  </si>
  <si>
    <t xml:space="preserve">Activos Promedio </t>
  </si>
  <si>
    <t>Utilidad Bruta</t>
  </si>
  <si>
    <t>Gastos de Administración</t>
  </si>
  <si>
    <t>Gastos de Venta</t>
  </si>
  <si>
    <t>INDICES DE ENDEUDAMIENTO</t>
  </si>
  <si>
    <t>Otros Ingresos Operativos Neto</t>
  </si>
  <si>
    <t>Razón de Endeudamiento</t>
  </si>
  <si>
    <t>Utilidad de Operación</t>
  </si>
  <si>
    <t>Pasivo</t>
  </si>
  <si>
    <t>Ingresos Financieros</t>
  </si>
  <si>
    <t>Activo</t>
  </si>
  <si>
    <t>Gastos Financieros</t>
  </si>
  <si>
    <t>Otros Ingresos Extraordinarios</t>
  </si>
  <si>
    <t>Apalancamiento Financiero (Razón Deuda-Patrimonio)</t>
  </si>
  <si>
    <t>Otros Gastos</t>
  </si>
  <si>
    <t>Pasivos</t>
  </si>
  <si>
    <t>Participación en los resultados negocios conj., suc.</t>
  </si>
  <si>
    <t>Razón Deuda Corto Plazo-Deuda Total</t>
  </si>
  <si>
    <t>Utilidad neta por operaciones discontinuadas</t>
  </si>
  <si>
    <t>Pasivos Corto Plazo</t>
  </si>
  <si>
    <t>Utilidad antes de Diferencia en Cambio</t>
  </si>
  <si>
    <t>Diferencia en cambio</t>
  </si>
  <si>
    <t>Utilidad antes de Impuesto a la Renta</t>
  </si>
  <si>
    <t>INDICES DE COBERTURA</t>
  </si>
  <si>
    <t>Impuesto a la Renta</t>
  </si>
  <si>
    <t>Cobertura de Gastos Financieros</t>
  </si>
  <si>
    <t>Utilidad Neta</t>
  </si>
  <si>
    <t>Resultado Antes de Impuestos</t>
  </si>
  <si>
    <r>
      <t>C</t>
    </r>
    <r>
      <rPr>
        <b/>
        <sz val="12"/>
        <color rgb="FF000000"/>
        <rFont val="Century Gothic"/>
        <family val="2"/>
      </rPr>
      <t>OSTO DE OPORTUNIDAD DE LOS ACCIONISTAS CAPM Ke</t>
    </r>
  </si>
  <si>
    <t>Krf</t>
  </si>
  <si>
    <t>B (Beta) sectorial sin apalancar</t>
  </si>
  <si>
    <t>B (Beta) sectorial apalancado</t>
  </si>
  <si>
    <t>(Km - Krf)</t>
  </si>
  <si>
    <t>Ke (%)</t>
  </si>
  <si>
    <t>WACC</t>
  </si>
  <si>
    <t>Deuda</t>
  </si>
  <si>
    <t>Capital</t>
  </si>
  <si>
    <t>Ke (Costo de oportunidad)</t>
  </si>
  <si>
    <t>Kd (Interes del bono)</t>
  </si>
  <si>
    <t>Pasivo No corriente</t>
  </si>
  <si>
    <t xml:space="preserve">dcp% </t>
  </si>
  <si>
    <t>dlp%</t>
  </si>
  <si>
    <t>Kdpp (Coef deuda prom. Ponderado %)</t>
  </si>
  <si>
    <t>Wd (Peso asociado a la deuda)</t>
  </si>
  <si>
    <t>Wp</t>
  </si>
  <si>
    <t>We</t>
  </si>
  <si>
    <t>T</t>
  </si>
  <si>
    <t>EVA</t>
  </si>
  <si>
    <t>NOPAT</t>
  </si>
  <si>
    <t xml:space="preserve">Costo de Ventas y administracion </t>
  </si>
  <si>
    <t>Utilidad operacional</t>
  </si>
  <si>
    <t>gastos financieros y otros</t>
  </si>
  <si>
    <t>Utilidad antes IR</t>
  </si>
  <si>
    <t xml:space="preserve">Utilidad OPERACIONAL </t>
  </si>
  <si>
    <t>Total Activos</t>
  </si>
  <si>
    <t>ROA =</t>
  </si>
  <si>
    <t>ROE=</t>
  </si>
  <si>
    <t>PASIVO</t>
  </si>
  <si>
    <t xml:space="preserve">Patrimonio </t>
  </si>
  <si>
    <t xml:space="preserve">Apalancamiento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</si>
</sst>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#,##0.000"/>
    <numFmt numFmtId="167" formatCode="0.000%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Century Gothic"/>
      <family val="2"/>
    </font>
    <font>
      <b/>
      <sz val="12"/>
      <color rgb="FF000000"/>
      <name val="Century Gothic"/>
      <family val="2"/>
    </font>
    <font>
      <u/>
      <sz val="12"/>
      <color rgb="FF000000"/>
      <name val="Century Gothic"/>
      <family val="2"/>
    </font>
    <font>
      <sz val="9"/>
      <color rgb="FF000000"/>
      <name val="Century Gothic"/>
      <family val="2"/>
    </font>
    <font>
      <b/>
      <sz val="9"/>
      <color theme="0"/>
      <name val="Century Gothic"/>
      <family val="2"/>
    </font>
    <font>
      <b/>
      <u/>
      <sz val="10"/>
      <color rgb="FF000000"/>
      <name val="Century Gothic"/>
      <family val="2"/>
    </font>
    <font>
      <b/>
      <u/>
      <sz val="9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9"/>
      <color rgb="FF000000"/>
      <name val="Century Gothic"/>
      <family val="2"/>
    </font>
    <font>
      <u/>
      <sz val="9"/>
      <color rgb="FF000000"/>
      <name val="Century Gothi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1F487C"/>
      </patternFill>
    </fill>
    <fill>
      <patternFill patternType="solid">
        <fgColor rgb="FFD8D8D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4" fillId="0" borderId="1" xfId="0" applyFont="1" applyBorder="1"/>
    <xf numFmtId="0" fontId="3" fillId="0" borderId="1" xfId="0" applyFont="1" applyBorder="1"/>
    <xf numFmtId="0" fontId="5" fillId="2" borderId="0" xfId="0" applyFont="1" applyFill="1"/>
    <xf numFmtId="0" fontId="3" fillId="2" borderId="0" xfId="0" applyFont="1" applyFill="1" applyAlignment="1">
      <alignment horizontal="right"/>
    </xf>
    <xf numFmtId="0" fontId="4" fillId="5" borderId="1" xfId="0" applyFont="1" applyFill="1" applyBorder="1"/>
    <xf numFmtId="0" fontId="4" fillId="6" borderId="1" xfId="0" applyFont="1" applyFill="1" applyBorder="1"/>
    <xf numFmtId="0" fontId="6" fillId="7" borderId="6" xfId="0" applyFont="1" applyFill="1" applyBorder="1" applyAlignment="1">
      <alignment vertical="top"/>
    </xf>
    <xf numFmtId="3" fontId="3" fillId="0" borderId="9" xfId="0" applyNumberFormat="1" applyFont="1" applyFill="1" applyBorder="1" applyAlignment="1">
      <alignment horizontal="right" vertical="top"/>
    </xf>
    <xf numFmtId="0" fontId="6" fillId="7" borderId="10" xfId="0" applyFont="1" applyFill="1" applyBorder="1" applyAlignment="1">
      <alignment vertical="top"/>
    </xf>
    <xf numFmtId="0" fontId="0" fillId="2" borderId="0" xfId="0" applyFill="1"/>
    <xf numFmtId="3" fontId="3" fillId="0" borderId="13" xfId="0" applyNumberFormat="1" applyFont="1" applyBorder="1" applyAlignment="1">
      <alignment horizontal="right" vertical="top"/>
    </xf>
    <xf numFmtId="0" fontId="8" fillId="2" borderId="14" xfId="0" applyFont="1" applyFill="1" applyBorder="1" applyAlignment="1">
      <alignment vertical="top"/>
    </xf>
    <xf numFmtId="0" fontId="9" fillId="2" borderId="13" xfId="0" applyFont="1" applyFill="1" applyBorder="1" applyAlignment="1">
      <alignment horizontal="right" vertical="top"/>
    </xf>
    <xf numFmtId="0" fontId="9" fillId="2" borderId="15" xfId="0" applyFont="1" applyFill="1" applyBorder="1" applyAlignment="1">
      <alignment horizontal="right" vertical="top"/>
    </xf>
    <xf numFmtId="0" fontId="9" fillId="2" borderId="16" xfId="0" applyFont="1" applyFill="1" applyBorder="1" applyAlignment="1">
      <alignment horizontal="right" vertical="top"/>
    </xf>
    <xf numFmtId="10" fontId="4" fillId="0" borderId="1" xfId="1" applyNumberFormat="1" applyFont="1" applyBorder="1"/>
    <xf numFmtId="0" fontId="8" fillId="2" borderId="17" xfId="0" applyFont="1" applyFill="1" applyBorder="1" applyAlignment="1">
      <alignment vertical="top"/>
    </xf>
    <xf numFmtId="0" fontId="9" fillId="2" borderId="18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 vertical="top"/>
    </xf>
    <xf numFmtId="0" fontId="6" fillId="2" borderId="19" xfId="0" applyFont="1" applyFill="1" applyBorder="1" applyAlignment="1">
      <alignment horizontal="right"/>
    </xf>
    <xf numFmtId="0" fontId="6" fillId="2" borderId="17" xfId="0" applyFont="1" applyFill="1" applyBorder="1" applyAlignment="1">
      <alignment vertical="top"/>
    </xf>
    <xf numFmtId="3" fontId="6" fillId="2" borderId="13" xfId="0" applyNumberFormat="1" applyFont="1" applyFill="1" applyBorder="1" applyAlignment="1">
      <alignment horizontal="right" vertical="top"/>
    </xf>
    <xf numFmtId="3" fontId="6" fillId="2" borderId="20" xfId="0" applyNumberFormat="1" applyFont="1" applyFill="1" applyBorder="1" applyAlignment="1">
      <alignment horizontal="right" vertical="top"/>
    </xf>
    <xf numFmtId="3" fontId="6" fillId="2" borderId="18" xfId="0" applyNumberFormat="1" applyFont="1" applyFill="1" applyBorder="1" applyAlignment="1">
      <alignment horizontal="right" vertical="top"/>
    </xf>
    <xf numFmtId="3" fontId="6" fillId="2" borderId="21" xfId="0" applyNumberFormat="1" applyFont="1" applyFill="1" applyBorder="1" applyAlignment="1">
      <alignment horizontal="right" vertical="top"/>
    </xf>
    <xf numFmtId="3" fontId="3" fillId="0" borderId="1" xfId="0" applyNumberFormat="1" applyFont="1" applyBorder="1"/>
    <xf numFmtId="3" fontId="3" fillId="0" borderId="1" xfId="0" applyNumberFormat="1" applyFont="1" applyFill="1" applyBorder="1" applyAlignment="1">
      <alignment horizontal="right" vertical="top"/>
    </xf>
    <xf numFmtId="0" fontId="6" fillId="2" borderId="10" xfId="0" applyFont="1" applyFill="1" applyBorder="1" applyAlignment="1">
      <alignment vertical="top"/>
    </xf>
    <xf numFmtId="3" fontId="6" fillId="2" borderId="24" xfId="0" applyNumberFormat="1" applyFont="1" applyFill="1" applyBorder="1" applyAlignment="1">
      <alignment horizontal="right" vertical="top"/>
    </xf>
    <xf numFmtId="3" fontId="6" fillId="2" borderId="25" xfId="0" applyNumberFormat="1" applyFont="1" applyFill="1" applyBorder="1" applyAlignment="1">
      <alignment horizontal="right" vertical="top"/>
    </xf>
    <xf numFmtId="0" fontId="10" fillId="8" borderId="26" xfId="0" applyFont="1" applyFill="1" applyBorder="1" applyAlignment="1">
      <alignment vertical="top"/>
    </xf>
    <xf numFmtId="3" fontId="11" fillId="8" borderId="1" xfId="0" applyNumberFormat="1" applyFont="1" applyFill="1" applyBorder="1" applyAlignment="1">
      <alignment horizontal="right" vertical="top"/>
    </xf>
    <xf numFmtId="3" fontId="11" fillId="8" borderId="27" xfId="0" applyNumberFormat="1" applyFont="1" applyFill="1" applyBorder="1" applyAlignment="1">
      <alignment horizontal="right" vertical="top"/>
    </xf>
    <xf numFmtId="0" fontId="6" fillId="2" borderId="18" xfId="0" applyFont="1" applyFill="1" applyBorder="1" applyAlignment="1">
      <alignment horizontal="right" vertical="top"/>
    </xf>
    <xf numFmtId="0" fontId="6" fillId="2" borderId="21" xfId="0" applyFont="1" applyFill="1" applyBorder="1" applyAlignment="1">
      <alignment horizontal="right" vertical="top"/>
    </xf>
    <xf numFmtId="0" fontId="10" fillId="8" borderId="28" xfId="0" applyFont="1" applyFill="1" applyBorder="1" applyAlignment="1">
      <alignment vertical="top"/>
    </xf>
    <xf numFmtId="0" fontId="9" fillId="2" borderId="14" xfId="0" applyFont="1" applyFill="1" applyBorder="1" applyAlignment="1">
      <alignment vertical="top"/>
    </xf>
    <xf numFmtId="0" fontId="6" fillId="2" borderId="13" xfId="0" applyFont="1" applyFill="1" applyBorder="1" applyAlignment="1">
      <alignment horizontal="right" vertical="top"/>
    </xf>
    <xf numFmtId="0" fontId="6" fillId="2" borderId="20" xfId="0" applyFont="1" applyFill="1" applyBorder="1" applyAlignment="1">
      <alignment horizontal="right" vertical="top"/>
    </xf>
    <xf numFmtId="0" fontId="4" fillId="2" borderId="1" xfId="0" applyFont="1" applyFill="1" applyBorder="1"/>
    <xf numFmtId="0" fontId="11" fillId="2" borderId="17" xfId="0" applyFont="1" applyFill="1" applyBorder="1" applyAlignment="1">
      <alignment vertical="top"/>
    </xf>
    <xf numFmtId="0" fontId="4" fillId="9" borderId="1" xfId="0" applyFont="1" applyFill="1" applyBorder="1"/>
    <xf numFmtId="3" fontId="3" fillId="2" borderId="0" xfId="0" applyNumberFormat="1" applyFont="1" applyFill="1"/>
    <xf numFmtId="164" fontId="4" fillId="0" borderId="1" xfId="0" applyNumberFormat="1" applyFont="1" applyBorder="1"/>
    <xf numFmtId="0" fontId="6" fillId="2" borderId="29" xfId="0" applyFont="1" applyFill="1" applyBorder="1" applyAlignment="1">
      <alignment vertical="top"/>
    </xf>
    <xf numFmtId="3" fontId="6" fillId="2" borderId="13" xfId="0" applyNumberFormat="1" applyFont="1" applyFill="1" applyBorder="1" applyAlignment="1">
      <alignment horizontal="right"/>
    </xf>
    <xf numFmtId="0" fontId="6" fillId="2" borderId="30" xfId="0" applyFont="1" applyFill="1" applyBorder="1" applyAlignment="1">
      <alignment vertical="top" wrapText="1"/>
    </xf>
    <xf numFmtId="3" fontId="6" fillId="2" borderId="24" xfId="0" applyNumberFormat="1" applyFont="1" applyFill="1" applyBorder="1" applyAlignment="1">
      <alignment horizontal="right" vertical="center"/>
    </xf>
    <xf numFmtId="3" fontId="6" fillId="2" borderId="25" xfId="0" applyNumberFormat="1" applyFont="1" applyFill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top"/>
    </xf>
    <xf numFmtId="0" fontId="10" fillId="8" borderId="10" xfId="0" applyFont="1" applyFill="1" applyBorder="1" applyAlignment="1">
      <alignment vertical="top"/>
    </xf>
    <xf numFmtId="0" fontId="6" fillId="2" borderId="14" xfId="0" applyFont="1" applyFill="1" applyBorder="1" applyAlignment="1">
      <alignment vertical="top"/>
    </xf>
    <xf numFmtId="3" fontId="6" fillId="2" borderId="31" xfId="0" applyNumberFormat="1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 vertical="top"/>
    </xf>
    <xf numFmtId="0" fontId="6" fillId="2" borderId="31" xfId="0" applyFont="1" applyFill="1" applyBorder="1" applyAlignment="1">
      <alignment horizontal="right" vertical="top"/>
    </xf>
    <xf numFmtId="3" fontId="6" fillId="2" borderId="23" xfId="0" applyNumberFormat="1" applyFont="1" applyFill="1" applyBorder="1" applyAlignment="1">
      <alignment horizontal="right" vertical="top"/>
    </xf>
    <xf numFmtId="0" fontId="11" fillId="8" borderId="28" xfId="0" applyFont="1" applyFill="1" applyBorder="1" applyAlignment="1">
      <alignment vertical="top"/>
    </xf>
    <xf numFmtId="3" fontId="11" fillId="8" borderId="23" xfId="0" applyNumberFormat="1" applyFont="1" applyFill="1" applyBorder="1" applyAlignment="1">
      <alignment horizontal="right" vertical="top"/>
    </xf>
    <xf numFmtId="3" fontId="11" fillId="10" borderId="1" xfId="0" applyNumberFormat="1" applyFont="1" applyFill="1" applyBorder="1" applyAlignment="1">
      <alignment horizontal="right" vertical="top"/>
    </xf>
    <xf numFmtId="0" fontId="11" fillId="8" borderId="32" xfId="0" applyFont="1" applyFill="1" applyBorder="1" applyAlignment="1">
      <alignment vertical="top"/>
    </xf>
    <xf numFmtId="3" fontId="11" fillId="8" borderId="33" xfId="0" applyNumberFormat="1" applyFont="1" applyFill="1" applyBorder="1" applyAlignment="1">
      <alignment horizontal="right" vertical="top"/>
    </xf>
    <xf numFmtId="3" fontId="11" fillId="8" borderId="34" xfId="0" applyNumberFormat="1" applyFont="1" applyFill="1" applyBorder="1" applyAlignment="1">
      <alignment horizontal="right" vertical="top"/>
    </xf>
    <xf numFmtId="0" fontId="6" fillId="2" borderId="17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164" fontId="3" fillId="0" borderId="1" xfId="0" applyNumberFormat="1" applyFont="1" applyBorder="1"/>
    <xf numFmtId="0" fontId="11" fillId="2" borderId="17" xfId="0" applyFont="1" applyFill="1" applyBorder="1"/>
    <xf numFmtId="165" fontId="4" fillId="0" borderId="1" xfId="0" applyNumberFormat="1" applyFont="1" applyBorder="1"/>
    <xf numFmtId="0" fontId="12" fillId="2" borderId="17" xfId="0" applyFont="1" applyFill="1" applyBorder="1"/>
    <xf numFmtId="0" fontId="6" fillId="2" borderId="17" xfId="0" applyFont="1" applyFill="1" applyBorder="1"/>
    <xf numFmtId="0" fontId="6" fillId="2" borderId="0" xfId="0" applyFont="1" applyFill="1" applyBorder="1"/>
    <xf numFmtId="0" fontId="6" fillId="7" borderId="35" xfId="0" applyFont="1" applyFill="1" applyBorder="1" applyAlignment="1">
      <alignment vertical="top"/>
    </xf>
    <xf numFmtId="0" fontId="7" fillId="7" borderId="7" xfId="0" applyFont="1" applyFill="1" applyBorder="1" applyAlignment="1">
      <alignment horizontal="right" vertical="top"/>
    </xf>
    <xf numFmtId="0" fontId="7" fillId="7" borderId="8" xfId="0" applyFont="1" applyFill="1" applyBorder="1" applyAlignment="1">
      <alignment horizontal="right" vertical="top"/>
    </xf>
    <xf numFmtId="0" fontId="11" fillId="2" borderId="14" xfId="0" applyFont="1" applyFill="1" applyBorder="1" applyAlignment="1">
      <alignment vertical="top"/>
    </xf>
    <xf numFmtId="3" fontId="11" fillId="2" borderId="13" xfId="0" applyNumberFormat="1" applyFont="1" applyFill="1" applyBorder="1" applyAlignment="1">
      <alignment horizontal="right" vertical="top"/>
    </xf>
    <xf numFmtId="3" fontId="11" fillId="2" borderId="20" xfId="0" applyNumberFormat="1" applyFont="1" applyFill="1" applyBorder="1" applyAlignment="1">
      <alignment horizontal="right" vertical="top"/>
    </xf>
    <xf numFmtId="0" fontId="6" fillId="2" borderId="36" xfId="0" applyFont="1" applyFill="1" applyBorder="1" applyAlignment="1">
      <alignment vertical="top"/>
    </xf>
    <xf numFmtId="0" fontId="11" fillId="2" borderId="28" xfId="0" applyFont="1" applyFill="1" applyBorder="1" applyAlignment="1">
      <alignment vertical="top"/>
    </xf>
    <xf numFmtId="3" fontId="11" fillId="2" borderId="2" xfId="0" applyNumberFormat="1" applyFont="1" applyFill="1" applyBorder="1" applyAlignment="1">
      <alignment horizontal="right" vertical="top"/>
    </xf>
    <xf numFmtId="3" fontId="11" fillId="2" borderId="27" xfId="0" applyNumberFormat="1" applyFont="1" applyFill="1" applyBorder="1" applyAlignment="1">
      <alignment horizontal="right" vertical="top"/>
    </xf>
    <xf numFmtId="3" fontId="11" fillId="8" borderId="2" xfId="0" applyNumberFormat="1" applyFont="1" applyFill="1" applyBorder="1" applyAlignment="1">
      <alignment horizontal="right" vertical="top"/>
    </xf>
    <xf numFmtId="0" fontId="4" fillId="9" borderId="1" xfId="0" applyFont="1" applyFill="1" applyBorder="1" applyAlignment="1">
      <alignment wrapText="1"/>
    </xf>
    <xf numFmtId="0" fontId="6" fillId="2" borderId="28" xfId="0" applyFont="1" applyFill="1" applyBorder="1" applyAlignment="1">
      <alignment vertical="top"/>
    </xf>
    <xf numFmtId="0" fontId="6" fillId="2" borderId="2" xfId="0" applyFont="1" applyFill="1" applyBorder="1" applyAlignment="1">
      <alignment horizontal="right" vertical="top"/>
    </xf>
    <xf numFmtId="3" fontId="6" fillId="2" borderId="2" xfId="0" applyNumberFormat="1" applyFont="1" applyFill="1" applyBorder="1" applyAlignment="1">
      <alignment horizontal="right" vertical="top"/>
    </xf>
    <xf numFmtId="0" fontId="6" fillId="3" borderId="18" xfId="0" applyFont="1" applyFill="1" applyBorder="1" applyAlignment="1">
      <alignment horizontal="right" vertical="top"/>
    </xf>
    <xf numFmtId="0" fontId="6" fillId="8" borderId="28" xfId="0" applyFont="1" applyFill="1" applyBorder="1" applyAlignment="1">
      <alignment vertical="top"/>
    </xf>
    <xf numFmtId="0" fontId="6" fillId="0" borderId="28" xfId="0" applyFont="1" applyBorder="1" applyAlignment="1">
      <alignment vertical="top"/>
    </xf>
    <xf numFmtId="3" fontId="6" fillId="0" borderId="37" xfId="0" applyNumberFormat="1" applyFont="1" applyBorder="1" applyAlignment="1">
      <alignment horizontal="right" vertical="top"/>
    </xf>
    <xf numFmtId="3" fontId="6" fillId="0" borderId="38" xfId="0" applyNumberFormat="1" applyFont="1" applyBorder="1" applyAlignment="1">
      <alignment horizontal="right" vertical="top"/>
    </xf>
    <xf numFmtId="3" fontId="11" fillId="8" borderId="39" xfId="0" applyNumberFormat="1" applyFont="1" applyFill="1" applyBorder="1" applyAlignment="1">
      <alignment horizontal="right" vertical="top"/>
    </xf>
    <xf numFmtId="3" fontId="11" fillId="8" borderId="40" xfId="0" applyNumberFormat="1" applyFont="1" applyFill="1" applyBorder="1" applyAlignment="1">
      <alignment horizontal="right" vertical="top"/>
    </xf>
    <xf numFmtId="3" fontId="6" fillId="0" borderId="39" xfId="0" applyNumberFormat="1" applyFont="1" applyBorder="1" applyAlignment="1">
      <alignment horizontal="right" vertical="top"/>
    </xf>
    <xf numFmtId="3" fontId="6" fillId="0" borderId="40" xfId="0" applyNumberFormat="1" applyFont="1" applyBorder="1" applyAlignment="1">
      <alignment horizontal="right" vertical="top"/>
    </xf>
    <xf numFmtId="3" fontId="11" fillId="8" borderId="41" xfId="0" applyNumberFormat="1" applyFont="1" applyFill="1" applyBorder="1" applyAlignment="1">
      <alignment horizontal="right" vertical="top"/>
    </xf>
    <xf numFmtId="3" fontId="11" fillId="8" borderId="42" xfId="0" applyNumberFormat="1" applyFont="1" applyFill="1" applyBorder="1" applyAlignment="1">
      <alignment horizontal="right" vertical="top"/>
    </xf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11" borderId="1" xfId="0" applyFont="1" applyFill="1" applyBorder="1" applyAlignment="1">
      <alignment wrapText="1"/>
    </xf>
    <xf numFmtId="0" fontId="3" fillId="11" borderId="1" xfId="0" applyFont="1" applyFill="1" applyBorder="1"/>
    <xf numFmtId="0" fontId="3" fillId="0" borderId="1" xfId="0" applyFont="1" applyFill="1" applyBorder="1"/>
    <xf numFmtId="166" fontId="3" fillId="0" borderId="1" xfId="0" applyNumberFormat="1" applyFont="1" applyBorder="1"/>
    <xf numFmtId="0" fontId="3" fillId="0" borderId="31" xfId="0" applyFont="1" applyFill="1" applyBorder="1"/>
    <xf numFmtId="2" fontId="3" fillId="0" borderId="1" xfId="0" applyNumberFormat="1" applyFont="1" applyBorder="1"/>
    <xf numFmtId="0" fontId="4" fillId="11" borderId="1" xfId="0" applyFont="1" applyFill="1" applyBorder="1"/>
    <xf numFmtId="0" fontId="13" fillId="7" borderId="1" xfId="0" applyFont="1" applyFill="1" applyBorder="1" applyAlignment="1">
      <alignment horizontal="center" vertical="center"/>
    </xf>
    <xf numFmtId="3" fontId="15" fillId="2" borderId="13" xfId="0" applyNumberFormat="1" applyFont="1" applyFill="1" applyBorder="1" applyAlignment="1">
      <alignment horizontal="center" vertical="center"/>
    </xf>
    <xf numFmtId="3" fontId="15" fillId="2" borderId="22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0" fontId="15" fillId="2" borderId="22" xfId="0" applyFont="1" applyFill="1" applyBorder="1" applyAlignment="1"/>
    <xf numFmtId="14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3" fillId="2" borderId="43" xfId="0" applyFont="1" applyFill="1" applyBorder="1"/>
    <xf numFmtId="3" fontId="15" fillId="2" borderId="44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44" xfId="0" applyFont="1" applyFill="1" applyBorder="1"/>
    <xf numFmtId="0" fontId="13" fillId="7" borderId="44" xfId="0" applyFont="1" applyFill="1" applyBorder="1" applyAlignment="1">
      <alignment horizontal="center" vertical="center"/>
    </xf>
    <xf numFmtId="14" fontId="15" fillId="2" borderId="44" xfId="0" applyNumberFormat="1" applyFont="1" applyFill="1" applyBorder="1" applyAlignment="1">
      <alignment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13" fillId="7" borderId="45" xfId="0" applyFont="1" applyFill="1" applyBorder="1" applyAlignment="1">
      <alignment horizontal="center" vertical="center"/>
    </xf>
    <xf numFmtId="0" fontId="15" fillId="2" borderId="44" xfId="0" applyFont="1" applyFill="1" applyBorder="1"/>
    <xf numFmtId="0" fontId="1" fillId="2" borderId="44" xfId="0" applyFont="1" applyFill="1" applyBorder="1"/>
    <xf numFmtId="0" fontId="14" fillId="2" borderId="44" xfId="0" applyFont="1" applyFill="1" applyBorder="1" applyAlignment="1">
      <alignment horizontal="center"/>
    </xf>
    <xf numFmtId="167" fontId="16" fillId="2" borderId="44" xfId="1" applyNumberFormat="1" applyFont="1" applyFill="1" applyBorder="1" applyAlignment="1">
      <alignment horizontal="center" vertical="center"/>
    </xf>
    <xf numFmtId="10" fontId="16" fillId="2" borderId="44" xfId="1" applyNumberFormat="1" applyFont="1" applyFill="1" applyBorder="1" applyAlignment="1">
      <alignment horizontal="center" vertical="center"/>
    </xf>
    <xf numFmtId="164" fontId="16" fillId="2" borderId="44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</cellXfs>
  <cellStyles count="3">
    <cellStyle name="Normal" xfId="0" builtinId="0"/>
    <cellStyle name="Porcentaje" xfId="1" builtin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b="1"/>
              <a:t>ROA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cat>
            <c:strRef>
              <c:f>'BALANCE Y GANANCIAS Y PERDIDAS'!$P$74:$S$74</c:f>
              <c:strCache>
                <c:ptCount val="4"/>
                <c:pt idx="0">
                  <c:v>Dic. 13</c:v>
                </c:pt>
                <c:pt idx="1">
                  <c:v>Dic. 14</c:v>
                </c:pt>
                <c:pt idx="2">
                  <c:v>Dic. 15</c:v>
                </c:pt>
                <c:pt idx="3">
                  <c:v>Dic. 16</c:v>
                </c:pt>
              </c:strCache>
            </c:strRef>
          </c:cat>
          <c:val>
            <c:numRef>
              <c:f>'BALANCE Y GANANCIAS Y PERDIDAS'!$P$77:$S$77</c:f>
              <c:numCache>
                <c:formatCode>0.000%</c:formatCode>
                <c:ptCount val="4"/>
                <c:pt idx="0">
                  <c:v>0.10972286990219297</c:v>
                </c:pt>
                <c:pt idx="1">
                  <c:v>0.11289095227480611</c:v>
                </c:pt>
                <c:pt idx="2">
                  <c:v>0.10872264003118744</c:v>
                </c:pt>
                <c:pt idx="3">
                  <c:v>4.851762245226942E-2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2851872"/>
        <c:axId val="202852432"/>
      </c:lineChart>
      <c:catAx>
        <c:axId val="20285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2852432"/>
        <c:crosses val="autoZero"/>
        <c:auto val="1"/>
        <c:lblAlgn val="ctr"/>
        <c:lblOffset val="100"/>
        <c:noMultiLvlLbl val="0"/>
      </c:catAx>
      <c:valAx>
        <c:axId val="202852432"/>
        <c:scaling>
          <c:orientation val="minMax"/>
          <c:max val="0.14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285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ROE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'BALANCE Y GANANCIAS Y PERDIDAS'!$P$74:$S$74</c:f>
              <c:strCache>
                <c:ptCount val="4"/>
                <c:pt idx="0">
                  <c:v>Dic. 13</c:v>
                </c:pt>
                <c:pt idx="1">
                  <c:v>Dic. 14</c:v>
                </c:pt>
                <c:pt idx="2">
                  <c:v>Dic. 15</c:v>
                </c:pt>
                <c:pt idx="3">
                  <c:v>Dic. 16</c:v>
                </c:pt>
              </c:strCache>
            </c:strRef>
          </c:cat>
          <c:val>
            <c:numRef>
              <c:f>'BALANCE Y GANANCIAS Y PERDIDAS'!$P$80:$S$80</c:f>
              <c:numCache>
                <c:formatCode>0.00%</c:formatCode>
                <c:ptCount val="4"/>
                <c:pt idx="0">
                  <c:v>0.4983329248498245</c:v>
                </c:pt>
                <c:pt idx="1">
                  <c:v>0.51023890126263693</c:v>
                </c:pt>
                <c:pt idx="2">
                  <c:v>0.36289273216519069</c:v>
                </c:pt>
                <c:pt idx="3">
                  <c:v>0.16540538543481875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8051168"/>
        <c:axId val="198057328"/>
      </c:lineChart>
      <c:catAx>
        <c:axId val="19805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98057328"/>
        <c:crosses val="autoZero"/>
        <c:auto val="1"/>
        <c:lblAlgn val="ctr"/>
        <c:lblOffset val="100"/>
        <c:noMultiLvlLbl val="0"/>
      </c:catAx>
      <c:valAx>
        <c:axId val="19805732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9805116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APALANCAMIENTO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>
                    <a:alpha val="96000"/>
                  </a:schemeClr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cat>
            <c:strRef>
              <c:f>'BALANCE Y GANANCIAS Y PERDIDAS'!$P$74:$S$74</c:f>
              <c:strCache>
                <c:ptCount val="4"/>
                <c:pt idx="0">
                  <c:v>Dic. 13</c:v>
                </c:pt>
                <c:pt idx="1">
                  <c:v>Dic. 14</c:v>
                </c:pt>
                <c:pt idx="2">
                  <c:v>Dic. 15</c:v>
                </c:pt>
                <c:pt idx="3">
                  <c:v>Dic. 16</c:v>
                </c:pt>
              </c:strCache>
            </c:strRef>
          </c:cat>
          <c:val>
            <c:numRef>
              <c:f>'BALANCE Y GANANCIAS Y PERDIDAS'!$P$83:$S$83</c:f>
              <c:numCache>
                <c:formatCode>0.000</c:formatCode>
                <c:ptCount val="4"/>
                <c:pt idx="0">
                  <c:v>3.5417416195369182</c:v>
                </c:pt>
                <c:pt idx="1">
                  <c:v>3.5197501746692863</c:v>
                </c:pt>
                <c:pt idx="2">
                  <c:v>2.337784403148174</c:v>
                </c:pt>
                <c:pt idx="3">
                  <c:v>2.4091815937093983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5844544"/>
        <c:axId val="205845104"/>
      </c:lineChart>
      <c:catAx>
        <c:axId val="20584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5845104"/>
        <c:crosses val="autoZero"/>
        <c:auto val="1"/>
        <c:lblAlgn val="ctr"/>
        <c:lblOffset val="100"/>
        <c:noMultiLvlLbl val="0"/>
      </c:catAx>
      <c:valAx>
        <c:axId val="205845104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5844544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2328334</xdr:colOff>
      <xdr:row>0</xdr:row>
      <xdr:rowOff>52917</xdr:rowOff>
    </xdr:from>
    <xdr:to>
      <xdr:col>8</xdr:col>
      <xdr:colOff>814917</xdr:colOff>
      <xdr:row>3</xdr:row>
      <xdr:rowOff>52986</xdr:rowOff>
    </xdr:to>
    <xdr:pic>
      <xdr:nvPicPr>
        <xdr:cNvPr id="4" name="Imagen 3" descr="Resultado de imagen para COSAPI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5534" y="52917"/>
          <a:ext cx="1963208" cy="657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139553</xdr:colOff>
      <xdr:row>82</xdr:row>
      <xdr:rowOff>18385</xdr:rowOff>
    </xdr:from>
    <xdr:to>
      <xdr:col>9</xdr:col>
      <xdr:colOff>15506</xdr:colOff>
      <xdr:row>93</xdr:row>
      <xdr:rowOff>114521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335036</xdr:colOff>
      <xdr:row>83</xdr:row>
      <xdr:rowOff>145202</xdr:rowOff>
    </xdr:from>
    <xdr:to>
      <xdr:col>14</xdr:col>
      <xdr:colOff>1706193</xdr:colOff>
      <xdr:row>95</xdr:row>
      <xdr:rowOff>27025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355251</xdr:colOff>
      <xdr:row>84</xdr:row>
      <xdr:rowOff>31121</xdr:rowOff>
    </xdr:from>
    <xdr:to>
      <xdr:col>20</xdr:col>
      <xdr:colOff>486497</xdr:colOff>
      <xdr:row>95</xdr:row>
      <xdr:rowOff>116182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AYCONSA\Users\Fredy\Desktop\Julio%20personal\Valor%20Grupo%20Austral\AUST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gociación"/>
      <sheetName val="Sup. Especifico"/>
      <sheetName val="Modelo"/>
      <sheetName val="Depreciación"/>
      <sheetName val="Impuestos"/>
    </sheetNames>
    <sheetDataSet>
      <sheetData sheetId="0"/>
      <sheetData sheetId="1">
        <row r="7">
          <cell r="A7" t="str">
            <v>- Los numeros en azul corresponden a datos y los números en negro corresponden a fórmulas.</v>
          </cell>
        </row>
        <row r="8">
          <cell r="A8" t="str">
            <v>- Se asume que la inflación es igual a la devaluación.</v>
          </cell>
        </row>
        <row r="9">
          <cell r="A9" t="str">
            <v>- Se asume que la campaña pesquera coincide con el año calendario.</v>
          </cell>
        </row>
        <row r="11">
          <cell r="C11">
            <v>2000</v>
          </cell>
          <cell r="D11">
            <v>2001</v>
          </cell>
          <cell r="E11">
            <v>2002</v>
          </cell>
          <cell r="F11">
            <v>2003</v>
          </cell>
          <cell r="G11">
            <v>2004</v>
          </cell>
          <cell r="H11">
            <v>2005</v>
          </cell>
          <cell r="I11">
            <v>2006</v>
          </cell>
          <cell r="J11">
            <v>2007</v>
          </cell>
          <cell r="K11">
            <v>2008</v>
          </cell>
          <cell r="L11">
            <v>2009</v>
          </cell>
        </row>
        <row r="12">
          <cell r="C12">
            <v>1</v>
          </cell>
          <cell r="D12">
            <v>2</v>
          </cell>
          <cell r="E12">
            <v>3</v>
          </cell>
          <cell r="F12">
            <v>4</v>
          </cell>
          <cell r="G12">
            <v>5</v>
          </cell>
          <cell r="H12">
            <v>6</v>
          </cell>
          <cell r="I12">
            <v>7</v>
          </cell>
          <cell r="J12">
            <v>8</v>
          </cell>
          <cell r="K12">
            <v>9</v>
          </cell>
          <cell r="L12">
            <v>10</v>
          </cell>
        </row>
        <row r="14">
          <cell r="A14" t="str">
            <v>1.2. SUPUESTOS DE PRECIOS (US$)</v>
          </cell>
        </row>
        <row r="16">
          <cell r="A16" t="str">
            <v>Precio de la harina de soya</v>
          </cell>
          <cell r="B16" t="str">
            <v>(1)</v>
          </cell>
          <cell r="C16">
            <v>157.23551057078214</v>
          </cell>
          <cell r="D16">
            <v>180</v>
          </cell>
          <cell r="E16">
            <v>230</v>
          </cell>
          <cell r="F16">
            <v>230</v>
          </cell>
          <cell r="G16">
            <v>230</v>
          </cell>
          <cell r="H16">
            <v>230</v>
          </cell>
          <cell r="I16">
            <v>230</v>
          </cell>
          <cell r="J16">
            <v>230</v>
          </cell>
          <cell r="K16">
            <v>230</v>
          </cell>
          <cell r="L16">
            <v>230</v>
          </cell>
        </row>
        <row r="17">
          <cell r="A17" t="str">
            <v>Ratio (Precio harina de pescado / Precio harina de soya)</v>
          </cell>
          <cell r="B17" t="str">
            <v>(2)</v>
          </cell>
          <cell r="C17">
            <v>2.4500000000000002</v>
          </cell>
          <cell r="D17">
            <v>2.21</v>
          </cell>
          <cell r="E17">
            <v>2.2000000000000002</v>
          </cell>
          <cell r="F17">
            <v>2.2000000000000002</v>
          </cell>
          <cell r="G17">
            <v>2.2000000000000002</v>
          </cell>
          <cell r="H17">
            <v>2.2000000000000002</v>
          </cell>
          <cell r="I17">
            <v>2.2000000000000002</v>
          </cell>
          <cell r="J17">
            <v>2.2000000000000002</v>
          </cell>
          <cell r="K17">
            <v>2.2000000000000002</v>
          </cell>
          <cell r="L17">
            <v>2.2000000000000002</v>
          </cell>
        </row>
        <row r="18">
          <cell r="A18" t="str">
            <v>Precio de la harina de pescado FAQ (CIF US$/TM)</v>
          </cell>
          <cell r="B18" t="str">
            <v>(3)=(2)x(1)</v>
          </cell>
          <cell r="C18">
            <v>385.22700089841629</v>
          </cell>
          <cell r="D18">
            <v>397.8</v>
          </cell>
          <cell r="E18">
            <v>506.00000000000006</v>
          </cell>
          <cell r="F18">
            <v>506.00000000000006</v>
          </cell>
          <cell r="G18">
            <v>506.00000000000006</v>
          </cell>
          <cell r="H18">
            <v>506.00000000000006</v>
          </cell>
          <cell r="I18">
            <v>506.00000000000006</v>
          </cell>
          <cell r="J18">
            <v>506.00000000000006</v>
          </cell>
          <cell r="K18">
            <v>506.00000000000006</v>
          </cell>
          <cell r="L18">
            <v>506.00000000000006</v>
          </cell>
        </row>
        <row r="19">
          <cell r="A19" t="str">
            <v>Flete Promedio (US$/TM)</v>
          </cell>
          <cell r="B19" t="str">
            <v>(4)</v>
          </cell>
          <cell r="C19">
            <v>45</v>
          </cell>
          <cell r="D19">
            <v>45</v>
          </cell>
          <cell r="E19">
            <v>45</v>
          </cell>
          <cell r="F19">
            <v>45</v>
          </cell>
          <cell r="G19">
            <v>45</v>
          </cell>
          <cell r="H19">
            <v>45</v>
          </cell>
          <cell r="I19">
            <v>45</v>
          </cell>
          <cell r="J19">
            <v>45</v>
          </cell>
          <cell r="K19">
            <v>45</v>
          </cell>
          <cell r="L19">
            <v>45</v>
          </cell>
        </row>
        <row r="20">
          <cell r="A20" t="str">
            <v>Precio de la harina de pescado FAQ (FOB Perú US$/TM)</v>
          </cell>
          <cell r="B20" t="str">
            <v>(5)=(3)-(4)</v>
          </cell>
          <cell r="C20">
            <v>340.22700089841629</v>
          </cell>
          <cell r="D20">
            <v>352.8</v>
          </cell>
          <cell r="E20">
            <v>461.00000000000006</v>
          </cell>
          <cell r="F20">
            <v>461.00000000000006</v>
          </cell>
          <cell r="G20">
            <v>461.00000000000006</v>
          </cell>
          <cell r="H20">
            <v>461.00000000000006</v>
          </cell>
          <cell r="I20">
            <v>461.00000000000006</v>
          </cell>
          <cell r="J20">
            <v>461.00000000000006</v>
          </cell>
          <cell r="K20">
            <v>461.00000000000006</v>
          </cell>
          <cell r="L20">
            <v>461.00000000000006</v>
          </cell>
        </row>
        <row r="22">
          <cell r="A22" t="str">
            <v>Precio de la harina de pescado FAQ (FOB Perú US$/TM)</v>
          </cell>
          <cell r="B22" t="str">
            <v>(6)=(5)</v>
          </cell>
          <cell r="C22">
            <v>340.22700089841629</v>
          </cell>
          <cell r="D22">
            <v>352.8</v>
          </cell>
          <cell r="E22">
            <v>461.00000000000006</v>
          </cell>
          <cell r="F22">
            <v>461.00000000000006</v>
          </cell>
          <cell r="G22">
            <v>461.00000000000006</v>
          </cell>
          <cell r="H22">
            <v>461.00000000000006</v>
          </cell>
          <cell r="I22">
            <v>461.00000000000006</v>
          </cell>
          <cell r="J22">
            <v>461.00000000000006</v>
          </cell>
          <cell r="K22">
            <v>461.00000000000006</v>
          </cell>
          <cell r="L22">
            <v>461.00000000000006</v>
          </cell>
        </row>
        <row r="23">
          <cell r="A23" t="str">
            <v>Prima por Harina Prime / Super Prime</v>
          </cell>
          <cell r="B23" t="str">
            <v>(7)</v>
          </cell>
          <cell r="C23">
            <v>75</v>
          </cell>
          <cell r="D23">
            <v>75</v>
          </cell>
          <cell r="E23">
            <v>75</v>
          </cell>
          <cell r="F23">
            <v>75</v>
          </cell>
          <cell r="G23">
            <v>75</v>
          </cell>
          <cell r="H23">
            <v>75</v>
          </cell>
          <cell r="I23">
            <v>75</v>
          </cell>
          <cell r="J23">
            <v>75</v>
          </cell>
          <cell r="K23">
            <v>75</v>
          </cell>
          <cell r="L23">
            <v>75</v>
          </cell>
        </row>
        <row r="24">
          <cell r="A24" t="str">
            <v>Precio de harina prime / super prime (FOB Perú US$/TM)</v>
          </cell>
          <cell r="B24" t="str">
            <v>(8)=(6)-(7)</v>
          </cell>
          <cell r="C24">
            <v>415.22700089841629</v>
          </cell>
          <cell r="D24">
            <v>427.8</v>
          </cell>
          <cell r="E24">
            <v>536</v>
          </cell>
          <cell r="F24">
            <v>536</v>
          </cell>
          <cell r="G24">
            <v>536</v>
          </cell>
          <cell r="H24">
            <v>536</v>
          </cell>
          <cell r="I24">
            <v>536</v>
          </cell>
          <cell r="J24">
            <v>536</v>
          </cell>
          <cell r="K24">
            <v>536</v>
          </cell>
          <cell r="L24">
            <v>536</v>
          </cell>
        </row>
        <row r="26">
          <cell r="A26" t="str">
            <v>Precio promedio de harina de pescado (US$/TM)</v>
          </cell>
          <cell r="B26" t="str">
            <v>(9)=(27)/(18)</v>
          </cell>
          <cell r="C26">
            <v>410.72700089841629</v>
          </cell>
          <cell r="D26">
            <v>423.3</v>
          </cell>
          <cell r="E26">
            <v>531.5</v>
          </cell>
          <cell r="F26">
            <v>531.5</v>
          </cell>
          <cell r="G26">
            <v>531.5</v>
          </cell>
          <cell r="H26">
            <v>531.5</v>
          </cell>
          <cell r="I26">
            <v>531.5</v>
          </cell>
          <cell r="J26">
            <v>531.5</v>
          </cell>
          <cell r="K26">
            <v>531.5</v>
          </cell>
          <cell r="L26">
            <v>531.5</v>
          </cell>
        </row>
        <row r="28">
          <cell r="A28" t="str">
            <v>Precio del aceite de pescado (CIF US$/TM)</v>
          </cell>
          <cell r="B28" t="str">
            <v>(10)</v>
          </cell>
          <cell r="C28">
            <v>265</v>
          </cell>
          <cell r="D28">
            <v>295</v>
          </cell>
          <cell r="E28">
            <v>345</v>
          </cell>
          <cell r="F28">
            <v>345</v>
          </cell>
          <cell r="G28">
            <v>345</v>
          </cell>
          <cell r="H28">
            <v>345</v>
          </cell>
          <cell r="I28">
            <v>345</v>
          </cell>
          <cell r="J28">
            <v>345</v>
          </cell>
          <cell r="K28">
            <v>345</v>
          </cell>
          <cell r="L28">
            <v>345</v>
          </cell>
        </row>
        <row r="29">
          <cell r="A29" t="str">
            <v>Flete Promedio (US$/TM)</v>
          </cell>
          <cell r="B29" t="str">
            <v>(11)</v>
          </cell>
          <cell r="C29">
            <v>45</v>
          </cell>
          <cell r="D29">
            <v>45</v>
          </cell>
          <cell r="E29">
            <v>45</v>
          </cell>
          <cell r="F29">
            <v>45</v>
          </cell>
          <cell r="G29">
            <v>45</v>
          </cell>
          <cell r="H29">
            <v>45</v>
          </cell>
          <cell r="I29">
            <v>45</v>
          </cell>
          <cell r="J29">
            <v>45</v>
          </cell>
          <cell r="K29">
            <v>45</v>
          </cell>
          <cell r="L29">
            <v>45</v>
          </cell>
        </row>
        <row r="30">
          <cell r="A30" t="str">
            <v>Precio del aceite de pescado (FOB Perú US$/TM)</v>
          </cell>
          <cell r="B30" t="str">
            <v>(12)=(10)-(11)</v>
          </cell>
          <cell r="C30">
            <v>220</v>
          </cell>
          <cell r="D30">
            <v>250</v>
          </cell>
          <cell r="E30">
            <v>300</v>
          </cell>
          <cell r="F30">
            <v>300</v>
          </cell>
          <cell r="G30">
            <v>300</v>
          </cell>
          <cell r="H30">
            <v>300</v>
          </cell>
          <cell r="I30">
            <v>300</v>
          </cell>
          <cell r="J30">
            <v>300</v>
          </cell>
          <cell r="K30">
            <v>300</v>
          </cell>
          <cell r="L30">
            <v>300</v>
          </cell>
        </row>
        <row r="32">
          <cell r="A32" t="str">
            <v>Precio de conservas (US$/CAJA)</v>
          </cell>
          <cell r="B32" t="str">
            <v>(13)</v>
          </cell>
          <cell r="C32">
            <v>11.2</v>
          </cell>
          <cell r="D32">
            <v>11.2</v>
          </cell>
          <cell r="E32">
            <v>11.2</v>
          </cell>
          <cell r="F32">
            <v>11.2</v>
          </cell>
          <cell r="G32">
            <v>11.2</v>
          </cell>
          <cell r="H32">
            <v>11.2</v>
          </cell>
          <cell r="I32">
            <v>11.2</v>
          </cell>
          <cell r="J32">
            <v>11.2</v>
          </cell>
          <cell r="K32">
            <v>11.2</v>
          </cell>
          <cell r="L32">
            <v>11.2</v>
          </cell>
        </row>
        <row r="34">
          <cell r="A34" t="str">
            <v>1.3. SUPUESTOS DE PRODUCCION</v>
          </cell>
        </row>
        <row r="36">
          <cell r="A36" t="str">
            <v>Extracción pesca para harina de pescado (TM)</v>
          </cell>
          <cell r="B36" t="str">
            <v>(14)</v>
          </cell>
          <cell r="C36">
            <v>7000000</v>
          </cell>
          <cell r="D36">
            <v>6000000</v>
          </cell>
          <cell r="E36">
            <v>6000000</v>
          </cell>
          <cell r="F36">
            <v>6000000</v>
          </cell>
          <cell r="G36">
            <v>6000000</v>
          </cell>
          <cell r="H36">
            <v>6000000</v>
          </cell>
          <cell r="I36">
            <v>6000000</v>
          </cell>
          <cell r="J36">
            <v>6000000</v>
          </cell>
          <cell r="K36">
            <v>6000000</v>
          </cell>
          <cell r="L36">
            <v>6000000</v>
          </cell>
        </row>
        <row r="37">
          <cell r="A37" t="str">
            <v>Ratio de conversión (Extracción de Pescado / Producción HP)</v>
          </cell>
          <cell r="B37" t="str">
            <v>(15)</v>
          </cell>
          <cell r="C37">
            <v>4.4000000000000004</v>
          </cell>
          <cell r="D37">
            <v>4.3</v>
          </cell>
          <cell r="E37">
            <v>4.3</v>
          </cell>
          <cell r="F37">
            <v>4.3</v>
          </cell>
          <cell r="G37">
            <v>4.3</v>
          </cell>
          <cell r="H37">
            <v>4.3</v>
          </cell>
          <cell r="I37">
            <v>4.3</v>
          </cell>
          <cell r="J37">
            <v>4.3</v>
          </cell>
          <cell r="K37">
            <v>4.3</v>
          </cell>
          <cell r="L37">
            <v>4.3</v>
          </cell>
        </row>
        <row r="38">
          <cell r="A38" t="str">
            <v>Producción harina de pescado a nivel nacional</v>
          </cell>
          <cell r="B38" t="str">
            <v>(16)=(14)/(15)</v>
          </cell>
          <cell r="C38">
            <v>1590909.0909090908</v>
          </cell>
          <cell r="D38">
            <v>1395348.8372093025</v>
          </cell>
          <cell r="E38">
            <v>1395348.8372093025</v>
          </cell>
          <cell r="F38">
            <v>1395348.8372093025</v>
          </cell>
          <cell r="G38">
            <v>1395348.8372093025</v>
          </cell>
          <cell r="H38">
            <v>1395348.8372093025</v>
          </cell>
          <cell r="I38">
            <v>1395348.8372093025</v>
          </cell>
          <cell r="J38">
            <v>1395348.8372093025</v>
          </cell>
          <cell r="K38">
            <v>1395348.8372093025</v>
          </cell>
          <cell r="L38">
            <v>1395348.8372093025</v>
          </cell>
        </row>
        <row r="39">
          <cell r="A39" t="str">
            <v>Participación de mercado Austral</v>
          </cell>
          <cell r="B39" t="str">
            <v>(17)</v>
          </cell>
          <cell r="C39">
            <v>0.12</v>
          </cell>
          <cell r="D39">
            <v>0.12</v>
          </cell>
          <cell r="E39">
            <v>0.12</v>
          </cell>
          <cell r="F39">
            <v>0.12</v>
          </cell>
          <cell r="G39">
            <v>0.12</v>
          </cell>
          <cell r="H39">
            <v>0.12</v>
          </cell>
          <cell r="I39">
            <v>0.12</v>
          </cell>
          <cell r="J39">
            <v>0.12</v>
          </cell>
          <cell r="K39">
            <v>0.12</v>
          </cell>
          <cell r="L39">
            <v>0.12</v>
          </cell>
        </row>
        <row r="40">
          <cell r="A40" t="str">
            <v>Producción de harina de pescado de Austral (TM)</v>
          </cell>
          <cell r="B40" t="str">
            <v>(18)=(16)x(17)</v>
          </cell>
          <cell r="C40">
            <v>190909.09090909088</v>
          </cell>
          <cell r="D40">
            <v>167441.8604651163</v>
          </cell>
          <cell r="E40">
            <v>167441.8604651163</v>
          </cell>
          <cell r="F40">
            <v>167441.8604651163</v>
          </cell>
          <cell r="G40">
            <v>167441.8604651163</v>
          </cell>
          <cell r="H40">
            <v>167441.8604651163</v>
          </cell>
          <cell r="I40">
            <v>167441.8604651163</v>
          </cell>
          <cell r="J40">
            <v>167441.8604651163</v>
          </cell>
          <cell r="K40">
            <v>167441.8604651163</v>
          </cell>
          <cell r="L40">
            <v>167441.8604651163</v>
          </cell>
        </row>
        <row r="42">
          <cell r="A42" t="str">
            <v>% Producción harina de pescado FAQ</v>
          </cell>
          <cell r="B42" t="str">
            <v>(19)</v>
          </cell>
          <cell r="C42">
            <v>0.06</v>
          </cell>
          <cell r="D42">
            <v>0.06</v>
          </cell>
          <cell r="E42">
            <v>0.06</v>
          </cell>
          <cell r="F42">
            <v>0.06</v>
          </cell>
          <cell r="G42">
            <v>0.06</v>
          </cell>
          <cell r="H42">
            <v>0.06</v>
          </cell>
          <cell r="I42">
            <v>0.06</v>
          </cell>
          <cell r="J42">
            <v>0.06</v>
          </cell>
          <cell r="K42">
            <v>0.06</v>
          </cell>
          <cell r="L42">
            <v>0.06</v>
          </cell>
        </row>
        <row r="43">
          <cell r="A43" t="str">
            <v>Producción de harina de pescado FAQ (TM)</v>
          </cell>
          <cell r="B43" t="str">
            <v>(20)=(18)x(19)</v>
          </cell>
          <cell r="C43">
            <v>11454.545454545452</v>
          </cell>
          <cell r="D43">
            <v>10046.511627906977</v>
          </cell>
          <cell r="E43">
            <v>10046.511627906977</v>
          </cell>
          <cell r="F43">
            <v>10046.511627906977</v>
          </cell>
          <cell r="G43">
            <v>10046.511627906977</v>
          </cell>
          <cell r="H43">
            <v>10046.511627906977</v>
          </cell>
          <cell r="I43">
            <v>10046.511627906977</v>
          </cell>
          <cell r="J43">
            <v>10046.511627906977</v>
          </cell>
          <cell r="K43">
            <v>10046.511627906977</v>
          </cell>
          <cell r="L43">
            <v>10046.511627906977</v>
          </cell>
        </row>
        <row r="44">
          <cell r="A44" t="str">
            <v>Producción de harina de pescado Prime/Super Prime (TM)</v>
          </cell>
          <cell r="B44" t="str">
            <v>(21)=(18)-(20)</v>
          </cell>
          <cell r="C44">
            <v>179454.54545454544</v>
          </cell>
          <cell r="D44">
            <v>157395.34883720934</v>
          </cell>
          <cell r="E44">
            <v>157395.34883720934</v>
          </cell>
          <cell r="F44">
            <v>157395.34883720934</v>
          </cell>
          <cell r="G44">
            <v>157395.34883720934</v>
          </cell>
          <cell r="H44">
            <v>157395.34883720934</v>
          </cell>
          <cell r="I44">
            <v>157395.34883720934</v>
          </cell>
          <cell r="J44">
            <v>157395.34883720934</v>
          </cell>
          <cell r="K44">
            <v>157395.34883720934</v>
          </cell>
          <cell r="L44">
            <v>157395.34883720934</v>
          </cell>
        </row>
        <row r="47">
          <cell r="A47" t="str">
            <v>Ratio de extracción de aceite (Extracción de pescado/Prod. Aceite)</v>
          </cell>
          <cell r="B47" t="str">
            <v>(22)</v>
          </cell>
          <cell r="C47">
            <v>15</v>
          </cell>
          <cell r="D47">
            <v>14.5</v>
          </cell>
          <cell r="E47">
            <v>14.5</v>
          </cell>
          <cell r="F47">
            <v>14.5</v>
          </cell>
          <cell r="G47">
            <v>14.5</v>
          </cell>
          <cell r="H47">
            <v>14.5</v>
          </cell>
          <cell r="I47">
            <v>14.5</v>
          </cell>
          <cell r="J47">
            <v>14.5</v>
          </cell>
          <cell r="K47">
            <v>14.5</v>
          </cell>
          <cell r="L47">
            <v>14.5</v>
          </cell>
        </row>
        <row r="48">
          <cell r="A48" t="str">
            <v>Producción de aceite de pescado (TM)</v>
          </cell>
          <cell r="B48" t="str">
            <v>(23)=(14)x(17)x(22)</v>
          </cell>
          <cell r="C48">
            <v>56000</v>
          </cell>
          <cell r="D48">
            <v>49655.172413793101</v>
          </cell>
          <cell r="E48">
            <v>49655.172413793101</v>
          </cell>
          <cell r="F48">
            <v>49655.172413793101</v>
          </cell>
          <cell r="G48">
            <v>49655.172413793101</v>
          </cell>
          <cell r="H48">
            <v>49655.172413793101</v>
          </cell>
          <cell r="I48">
            <v>49655.172413793101</v>
          </cell>
          <cell r="J48">
            <v>49655.172413793101</v>
          </cell>
          <cell r="K48">
            <v>49655.172413793101</v>
          </cell>
          <cell r="L48">
            <v>49655.172413793101</v>
          </cell>
        </row>
        <row r="50">
          <cell r="A50" t="str">
            <v>Produción de conservas (Cajas)</v>
          </cell>
          <cell r="B50" t="str">
            <v>(24)</v>
          </cell>
          <cell r="C50">
            <v>2600000</v>
          </cell>
          <cell r="D50">
            <v>2600000</v>
          </cell>
          <cell r="E50">
            <v>2600000</v>
          </cell>
          <cell r="F50">
            <v>2600000</v>
          </cell>
          <cell r="G50">
            <v>2600000</v>
          </cell>
          <cell r="H50">
            <v>2600000</v>
          </cell>
          <cell r="I50">
            <v>2600000</v>
          </cell>
          <cell r="J50">
            <v>2600000</v>
          </cell>
          <cell r="K50">
            <v>2600000</v>
          </cell>
          <cell r="L50">
            <v>2600000</v>
          </cell>
        </row>
        <row r="52">
          <cell r="C52">
            <v>2000</v>
          </cell>
          <cell r="D52">
            <v>2001</v>
          </cell>
          <cell r="E52">
            <v>2002</v>
          </cell>
          <cell r="F52">
            <v>2003</v>
          </cell>
          <cell r="G52">
            <v>2004</v>
          </cell>
          <cell r="H52">
            <v>2005</v>
          </cell>
          <cell r="I52">
            <v>2006</v>
          </cell>
          <cell r="J52">
            <v>2007</v>
          </cell>
          <cell r="K52">
            <v>2008</v>
          </cell>
          <cell r="L52">
            <v>2009</v>
          </cell>
        </row>
        <row r="53">
          <cell r="C53">
            <v>1</v>
          </cell>
          <cell r="D53">
            <v>2</v>
          </cell>
          <cell r="E53">
            <v>3</v>
          </cell>
          <cell r="F53">
            <v>4</v>
          </cell>
          <cell r="G53">
            <v>5</v>
          </cell>
          <cell r="H53">
            <v>6</v>
          </cell>
          <cell r="I53">
            <v>7</v>
          </cell>
          <cell r="J53">
            <v>8</v>
          </cell>
          <cell r="K53">
            <v>9</v>
          </cell>
          <cell r="L53">
            <v>10</v>
          </cell>
        </row>
        <row r="55">
          <cell r="A55" t="str">
            <v>1.4. VENTAS POR PRODUCTO</v>
          </cell>
        </row>
        <row r="57">
          <cell r="A57" t="str">
            <v>Venta de harina de pescado Prime / Super Prime</v>
          </cell>
          <cell r="B57" t="str">
            <v>(25)=(21)x(8)</v>
          </cell>
          <cell r="C57">
            <v>74514.372706679438</v>
          </cell>
          <cell r="D57">
            <v>67333.730232558155</v>
          </cell>
          <cell r="E57">
            <v>84363.906976744198</v>
          </cell>
          <cell r="F57">
            <v>84363.906976744198</v>
          </cell>
          <cell r="G57">
            <v>84363.906976744198</v>
          </cell>
          <cell r="H57">
            <v>84363.906976744198</v>
          </cell>
          <cell r="I57">
            <v>84363.906976744198</v>
          </cell>
          <cell r="J57">
            <v>84363.906976744198</v>
          </cell>
          <cell r="K57">
            <v>84363.906976744198</v>
          </cell>
          <cell r="L57">
            <v>84363.906976744198</v>
          </cell>
        </row>
        <row r="58">
          <cell r="A58" t="str">
            <v xml:space="preserve">Venta de harina de pescado FAQ </v>
          </cell>
          <cell r="B58" t="str">
            <v>(26)=(20)x(5)</v>
          </cell>
          <cell r="C58">
            <v>3897.145646654586</v>
          </cell>
          <cell r="D58">
            <v>3544.4093023255818</v>
          </cell>
          <cell r="E58">
            <v>4631.4418604651164</v>
          </cell>
          <cell r="F58">
            <v>4631.4418604651164</v>
          </cell>
          <cell r="G58">
            <v>4631.4418604651164</v>
          </cell>
          <cell r="H58">
            <v>4631.4418604651164</v>
          </cell>
          <cell r="I58">
            <v>4631.4418604651164</v>
          </cell>
          <cell r="J58">
            <v>4631.4418604651164</v>
          </cell>
          <cell r="K58">
            <v>4631.4418604651164</v>
          </cell>
          <cell r="L58">
            <v>4631.4418604651164</v>
          </cell>
        </row>
        <row r="59">
          <cell r="A59" t="str">
            <v>Venta de harina de pescado</v>
          </cell>
          <cell r="B59" t="str">
            <v>(27)=(25)+(26)</v>
          </cell>
          <cell r="C59">
            <v>78411.518353334017</v>
          </cell>
          <cell r="D59">
            <v>70878.13953488374</v>
          </cell>
          <cell r="E59">
            <v>88995.348837209312</v>
          </cell>
          <cell r="F59">
            <v>88995.348837209312</v>
          </cell>
          <cell r="G59">
            <v>88995.348837209312</v>
          </cell>
          <cell r="H59">
            <v>88995.348837209312</v>
          </cell>
          <cell r="I59">
            <v>88995.348837209312</v>
          </cell>
          <cell r="J59">
            <v>88995.348837209312</v>
          </cell>
          <cell r="K59">
            <v>88995.348837209312</v>
          </cell>
          <cell r="L59">
            <v>88995.348837209312</v>
          </cell>
        </row>
        <row r="60">
          <cell r="A60" t="str">
            <v>Venta de aceite de pescado</v>
          </cell>
          <cell r="B60" t="str">
            <v>(28)=(12)x(23)</v>
          </cell>
          <cell r="C60">
            <v>12320</v>
          </cell>
          <cell r="D60">
            <v>12413.793103448275</v>
          </cell>
          <cell r="E60">
            <v>14896.551724137929</v>
          </cell>
          <cell r="F60">
            <v>14896.551724137929</v>
          </cell>
          <cell r="G60">
            <v>14896.551724137929</v>
          </cell>
          <cell r="H60">
            <v>14896.551724137929</v>
          </cell>
          <cell r="I60">
            <v>14896.551724137929</v>
          </cell>
          <cell r="J60">
            <v>14896.551724137929</v>
          </cell>
          <cell r="K60">
            <v>14896.551724137929</v>
          </cell>
          <cell r="L60">
            <v>14896.551724137929</v>
          </cell>
        </row>
        <row r="61">
          <cell r="A61" t="str">
            <v xml:space="preserve">Venta de conservas </v>
          </cell>
          <cell r="B61" t="str">
            <v>(29)=(24)x(13)</v>
          </cell>
          <cell r="C61">
            <v>29120</v>
          </cell>
          <cell r="D61">
            <v>29120</v>
          </cell>
          <cell r="E61">
            <v>29120</v>
          </cell>
          <cell r="F61">
            <v>29120</v>
          </cell>
          <cell r="G61">
            <v>29120</v>
          </cell>
          <cell r="H61">
            <v>29120</v>
          </cell>
          <cell r="I61">
            <v>29120</v>
          </cell>
          <cell r="J61">
            <v>29120</v>
          </cell>
          <cell r="K61">
            <v>29120</v>
          </cell>
          <cell r="L61">
            <v>29120</v>
          </cell>
        </row>
        <row r="63">
          <cell r="A63" t="str">
            <v>Total Ventas Austral</v>
          </cell>
          <cell r="B63" t="str">
            <v>(30)=(27)+(28)+(29)</v>
          </cell>
          <cell r="C63">
            <v>119851.51835333402</v>
          </cell>
          <cell r="D63">
            <v>112411.93263833201</v>
          </cell>
          <cell r="E63">
            <v>133011.90056134725</v>
          </cell>
          <cell r="F63">
            <v>133011.90056134725</v>
          </cell>
          <cell r="G63">
            <v>133011.90056134725</v>
          </cell>
          <cell r="H63">
            <v>133011.90056134725</v>
          </cell>
          <cell r="I63">
            <v>133011.90056134725</v>
          </cell>
          <cell r="J63">
            <v>133011.90056134725</v>
          </cell>
          <cell r="K63">
            <v>133011.90056134725</v>
          </cell>
          <cell r="L63">
            <v>133011.90056134725</v>
          </cell>
        </row>
        <row r="65">
          <cell r="A65" t="str">
            <v>1.5. SUPUESTOS DE COSTO DE VENTAS</v>
          </cell>
        </row>
        <row r="67">
          <cell r="A67" t="str">
            <v>Margen Bruto (%)</v>
          </cell>
          <cell r="B67" t="str">
            <v>(31)</v>
          </cell>
          <cell r="C67">
            <v>0.39909999999999995</v>
          </cell>
          <cell r="D67">
            <v>0.39909999999999995</v>
          </cell>
          <cell r="E67">
            <v>0.39909999999999995</v>
          </cell>
          <cell r="F67">
            <v>0.39909999999999995</v>
          </cell>
          <cell r="G67">
            <v>0.39909999999999995</v>
          </cell>
          <cell r="H67">
            <v>0.39909999999999995</v>
          </cell>
          <cell r="I67">
            <v>0.39909999999999995</v>
          </cell>
          <cell r="J67">
            <v>0.39909999999999995</v>
          </cell>
          <cell r="K67">
            <v>0.39909999999999995</v>
          </cell>
          <cell r="L67">
            <v>0.39909999999999995</v>
          </cell>
        </row>
        <row r="69">
          <cell r="A69" t="str">
            <v>Total Costos de Ventas</v>
          </cell>
          <cell r="B69" t="str">
            <v>(32)=(1-(31))x(30)</v>
          </cell>
          <cell r="C69">
            <v>72018.777378518411</v>
          </cell>
          <cell r="D69">
            <v>67548.330322373702</v>
          </cell>
          <cell r="E69">
            <v>79926.851047313568</v>
          </cell>
          <cell r="F69">
            <v>79926.851047313568</v>
          </cell>
          <cell r="G69">
            <v>79926.851047313568</v>
          </cell>
          <cell r="H69">
            <v>79926.851047313568</v>
          </cell>
          <cell r="I69">
            <v>79926.851047313568</v>
          </cell>
          <cell r="J69">
            <v>79926.851047313568</v>
          </cell>
          <cell r="K69">
            <v>79926.851047313568</v>
          </cell>
          <cell r="L69">
            <v>79926.851047313568</v>
          </cell>
        </row>
        <row r="72">
          <cell r="A72" t="str">
            <v>1.6. SUPUESTOS DE GASTOS DE VENTAS Y ADMINISTRATIVOS</v>
          </cell>
        </row>
        <row r="74">
          <cell r="A74" t="str">
            <v xml:space="preserve">Total Gastos de Ventas </v>
          </cell>
          <cell r="B74" t="str">
            <v>(33)</v>
          </cell>
          <cell r="C74">
            <v>9500</v>
          </cell>
          <cell r="D74">
            <v>9600</v>
          </cell>
          <cell r="E74">
            <v>7700</v>
          </cell>
          <cell r="F74">
            <v>9500</v>
          </cell>
          <cell r="G74">
            <v>9500</v>
          </cell>
          <cell r="H74">
            <v>9500</v>
          </cell>
          <cell r="I74">
            <v>9500</v>
          </cell>
          <cell r="J74">
            <v>9500</v>
          </cell>
          <cell r="K74">
            <v>9500</v>
          </cell>
          <cell r="L74">
            <v>9500</v>
          </cell>
        </row>
        <row r="75">
          <cell r="A75" t="str">
            <v>Gasto de Ventas  por TMHP (US$/TMHP)</v>
          </cell>
          <cell r="B75" t="str">
            <v>(34)=(33)/(18)</v>
          </cell>
          <cell r="C75">
            <v>49.761904761904773</v>
          </cell>
          <cell r="D75">
            <v>57.333333333333329</v>
          </cell>
          <cell r="E75">
            <v>45.9861111111111</v>
          </cell>
          <cell r="F75">
            <v>56.736111111111107</v>
          </cell>
          <cell r="G75">
            <v>56.736111111111107</v>
          </cell>
          <cell r="H75">
            <v>56.736111111111107</v>
          </cell>
          <cell r="I75">
            <v>56.736111111111107</v>
          </cell>
          <cell r="J75">
            <v>56.736111111111107</v>
          </cell>
          <cell r="K75">
            <v>56.736111111111107</v>
          </cell>
          <cell r="L75">
            <v>56.736111111111107</v>
          </cell>
        </row>
        <row r="76">
          <cell r="A76" t="str">
            <v xml:space="preserve">Gasto de Ventas / Ventas </v>
          </cell>
          <cell r="B76" t="str">
            <v>(35)=(33)/(30)</v>
          </cell>
          <cell r="C76">
            <v>7.9264744665086928E-2</v>
          </cell>
          <cell r="D76">
            <v>8.5400186392013328E-2</v>
          </cell>
          <cell r="E76">
            <v>5.7889557005830726E-2</v>
          </cell>
          <cell r="F76">
            <v>7.1422180721479475E-2</v>
          </cell>
          <cell r="G76">
            <v>7.1422180721479475E-2</v>
          </cell>
          <cell r="H76">
            <v>7.1422180721479475E-2</v>
          </cell>
          <cell r="I76">
            <v>7.1422180721479475E-2</v>
          </cell>
          <cell r="J76">
            <v>7.1422180721479475E-2</v>
          </cell>
          <cell r="K76">
            <v>7.1422180721479475E-2</v>
          </cell>
          <cell r="L76">
            <v>7.1422180721479475E-2</v>
          </cell>
        </row>
        <row r="78">
          <cell r="A78" t="str">
            <v>Total Gastos Administrativos (US$)</v>
          </cell>
          <cell r="B78" t="str">
            <v>(36)</v>
          </cell>
          <cell r="C78">
            <v>11400</v>
          </cell>
          <cell r="D78">
            <v>10400</v>
          </cell>
          <cell r="E78">
            <v>10300</v>
          </cell>
          <cell r="F78">
            <v>10200</v>
          </cell>
          <cell r="G78">
            <v>10100</v>
          </cell>
          <cell r="H78">
            <v>10100</v>
          </cell>
          <cell r="I78">
            <v>10100</v>
          </cell>
          <cell r="J78">
            <v>10000</v>
          </cell>
          <cell r="K78">
            <v>10000</v>
          </cell>
          <cell r="L78">
            <v>10000</v>
          </cell>
        </row>
        <row r="79">
          <cell r="A79" t="str">
            <v>Gastos Administrativos por TMHP (US$/TMHP)</v>
          </cell>
          <cell r="B79" t="str">
            <v>(37)=(36)/(18)</v>
          </cell>
          <cell r="C79">
            <v>59.714285714285722</v>
          </cell>
          <cell r="D79">
            <v>62.1111111111111</v>
          </cell>
          <cell r="E79">
            <v>61.513888888888879</v>
          </cell>
          <cell r="F79">
            <v>60.916666666666657</v>
          </cell>
          <cell r="G79">
            <v>60.319444444444436</v>
          </cell>
          <cell r="H79">
            <v>60.319444444444436</v>
          </cell>
          <cell r="I79">
            <v>60.319444444444436</v>
          </cell>
          <cell r="J79">
            <v>59.722222222222214</v>
          </cell>
          <cell r="K79">
            <v>59.722222222222214</v>
          </cell>
          <cell r="L79">
            <v>59.722222222222214</v>
          </cell>
        </row>
      </sheetData>
      <sheetData sheetId="2"/>
      <sheetData sheetId="3">
        <row r="1">
          <cell r="A1" t="str">
            <v>8. CALCULO DE DEPRECIACION</v>
          </cell>
        </row>
        <row r="2">
          <cell r="A2" t="str">
            <v>Austral - Modelo de Valorización</v>
          </cell>
        </row>
        <row r="3">
          <cell r="A3" t="str">
            <v>Miles de US$</v>
          </cell>
        </row>
        <row r="4">
          <cell r="D4">
            <v>1998</v>
          </cell>
          <cell r="E4">
            <v>2000</v>
          </cell>
          <cell r="F4">
            <v>2001</v>
          </cell>
          <cell r="G4">
            <v>2002</v>
          </cell>
          <cell r="H4">
            <v>2003</v>
          </cell>
          <cell r="I4">
            <v>2004</v>
          </cell>
          <cell r="J4">
            <v>2005</v>
          </cell>
          <cell r="K4">
            <v>2006</v>
          </cell>
          <cell r="L4">
            <v>2007</v>
          </cell>
          <cell r="M4">
            <v>2008</v>
          </cell>
          <cell r="N4">
            <v>2009</v>
          </cell>
        </row>
        <row r="7">
          <cell r="A7" t="str">
            <v>8.1. CALCULO DE DEPRECIACIÓN CONTABLE</v>
          </cell>
        </row>
        <row r="9">
          <cell r="A9" t="str">
            <v>Depreciación lineal:</v>
          </cell>
          <cell r="B9">
            <v>0.02</v>
          </cell>
          <cell r="C9" t="str">
            <v>(139)</v>
          </cell>
        </row>
        <row r="11">
          <cell r="A11" t="str">
            <v>Edificios, construcciones e instalaciones bruto</v>
          </cell>
          <cell r="C11" t="str">
            <v>(140)=(140)-1</v>
          </cell>
          <cell r="D11">
            <v>25760</v>
          </cell>
          <cell r="E11">
            <v>25760</v>
          </cell>
          <cell r="F11">
            <v>25760</v>
          </cell>
          <cell r="G11">
            <v>25760</v>
          </cell>
          <cell r="H11">
            <v>25760</v>
          </cell>
          <cell r="I11">
            <v>25760</v>
          </cell>
          <cell r="J11">
            <v>25760</v>
          </cell>
          <cell r="K11">
            <v>25760</v>
          </cell>
          <cell r="L11">
            <v>25760</v>
          </cell>
          <cell r="M11">
            <v>25760</v>
          </cell>
          <cell r="N11">
            <v>25760</v>
          </cell>
        </row>
        <row r="12">
          <cell r="A12" t="str">
            <v>Depreciación del periodo</v>
          </cell>
          <cell r="C12" t="str">
            <v>(141)=(140)x(139)</v>
          </cell>
          <cell r="E12">
            <v>515.20000000000005</v>
          </cell>
          <cell r="F12">
            <v>515.20000000000005</v>
          </cell>
          <cell r="G12">
            <v>515.20000000000005</v>
          </cell>
          <cell r="H12">
            <v>515.20000000000005</v>
          </cell>
          <cell r="I12">
            <v>515.20000000000005</v>
          </cell>
          <cell r="J12">
            <v>515.20000000000005</v>
          </cell>
          <cell r="K12">
            <v>515.20000000000005</v>
          </cell>
          <cell r="L12">
            <v>515.20000000000005</v>
          </cell>
          <cell r="M12">
            <v>515.20000000000005</v>
          </cell>
          <cell r="N12">
            <v>515.20000000000005</v>
          </cell>
        </row>
        <row r="13">
          <cell r="A13" t="str">
            <v>Depreciación Acumulada</v>
          </cell>
          <cell r="C13" t="str">
            <v>(142)=(142)-1 +(141)</v>
          </cell>
          <cell r="D13">
            <v>1835</v>
          </cell>
          <cell r="E13">
            <v>2350.1999999999998</v>
          </cell>
          <cell r="F13">
            <v>2865.3999999999996</v>
          </cell>
          <cell r="G13">
            <v>3380.5999999999995</v>
          </cell>
          <cell r="H13">
            <v>3895.7999999999993</v>
          </cell>
          <cell r="I13">
            <v>4410.9999999999991</v>
          </cell>
          <cell r="J13">
            <v>4926.1999999999989</v>
          </cell>
          <cell r="K13">
            <v>5441.3999999999987</v>
          </cell>
          <cell r="L13">
            <v>5956.5999999999985</v>
          </cell>
          <cell r="M13">
            <v>6471.7999999999984</v>
          </cell>
          <cell r="N13">
            <v>6986.9999999999982</v>
          </cell>
        </row>
        <row r="14">
          <cell r="A14" t="str">
            <v>Edificios Neto</v>
          </cell>
          <cell r="C14" t="str">
            <v>(143)=(140)-(142)</v>
          </cell>
          <cell r="D14">
            <v>23925</v>
          </cell>
          <cell r="E14">
            <v>23409.8</v>
          </cell>
          <cell r="F14">
            <v>22894.6</v>
          </cell>
          <cell r="G14">
            <v>22379.4</v>
          </cell>
          <cell r="H14">
            <v>21864.2</v>
          </cell>
          <cell r="I14">
            <v>21349</v>
          </cell>
          <cell r="J14">
            <v>20833.800000000003</v>
          </cell>
          <cell r="K14">
            <v>20318.600000000002</v>
          </cell>
          <cell r="L14">
            <v>19803.400000000001</v>
          </cell>
          <cell r="M14">
            <v>19288.2</v>
          </cell>
          <cell r="N14">
            <v>18773</v>
          </cell>
        </row>
        <row r="16">
          <cell r="A16" t="str">
            <v>Depreciación lineal:</v>
          </cell>
          <cell r="C16" t="str">
            <v>(144)</v>
          </cell>
        </row>
        <row r="18">
          <cell r="A18" t="str">
            <v>Edificios, construcciones e instalaciones leasing bruto</v>
          </cell>
          <cell r="C18" t="str">
            <v>(145)=(145)-1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Depreciación del periodo</v>
          </cell>
          <cell r="C19" t="str">
            <v>(146)=(145)x(144)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Depreciación Acumulada</v>
          </cell>
          <cell r="C20" t="str">
            <v>(147)=(147)-1 +(146)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Edificios Leasing Neto</v>
          </cell>
          <cell r="C21" t="str">
            <v>(148)=(145)-(147)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A23" t="str">
            <v>Depreciación lineal:</v>
          </cell>
          <cell r="B23">
            <v>4.4949999999999997E-2</v>
          </cell>
          <cell r="C23" t="str">
            <v>(149)</v>
          </cell>
        </row>
        <row r="25">
          <cell r="A25" t="str">
            <v>Embarcaciones y equipo de flota</v>
          </cell>
          <cell r="C25" t="str">
            <v>(150)=(150)-1</v>
          </cell>
          <cell r="D25">
            <v>87318.885760000005</v>
          </cell>
          <cell r="E25">
            <v>87318.885760000005</v>
          </cell>
          <cell r="F25">
            <v>87318.885760000005</v>
          </cell>
          <cell r="G25">
            <v>87318.885760000005</v>
          </cell>
          <cell r="H25">
            <v>87318.885760000005</v>
          </cell>
          <cell r="I25">
            <v>87318.885760000005</v>
          </cell>
          <cell r="J25">
            <v>87318.885760000005</v>
          </cell>
          <cell r="K25">
            <v>87318.885760000005</v>
          </cell>
          <cell r="L25">
            <v>87318.885760000005</v>
          </cell>
          <cell r="M25">
            <v>87318.885760000005</v>
          </cell>
          <cell r="N25">
            <v>87318.885760000005</v>
          </cell>
        </row>
        <row r="26">
          <cell r="A26" t="str">
            <v>Depreciación del periodo</v>
          </cell>
          <cell r="C26" t="str">
            <v>(151)=(150)x(149)</v>
          </cell>
          <cell r="E26">
            <v>3924.9839149119998</v>
          </cell>
          <cell r="F26">
            <v>3924.9839149119998</v>
          </cell>
          <cell r="G26">
            <v>3924.9839149119998</v>
          </cell>
          <cell r="H26">
            <v>3924.9839149119998</v>
          </cell>
          <cell r="I26">
            <v>3924.9839149119998</v>
          </cell>
          <cell r="J26">
            <v>3924.9839149119998</v>
          </cell>
          <cell r="K26">
            <v>3924.9839149119998</v>
          </cell>
          <cell r="L26">
            <v>3924.9839149119998</v>
          </cell>
          <cell r="M26">
            <v>3924.9839149119998</v>
          </cell>
          <cell r="N26">
            <v>3924.9839149119998</v>
          </cell>
        </row>
        <row r="27">
          <cell r="A27" t="str">
            <v>Depreciación Acumulada</v>
          </cell>
          <cell r="B27">
            <v>21369</v>
          </cell>
          <cell r="C27" t="str">
            <v>(152)=(152)-1 +(151)</v>
          </cell>
          <cell r="D27">
            <v>12451.484900773683</v>
          </cell>
          <cell r="E27">
            <v>16376.468815685683</v>
          </cell>
          <cell r="F27">
            <v>20301.452730597681</v>
          </cell>
          <cell r="G27">
            <v>24226.436645509682</v>
          </cell>
          <cell r="H27">
            <v>28151.420560421684</v>
          </cell>
          <cell r="I27">
            <v>32076.404475333686</v>
          </cell>
          <cell r="J27">
            <v>36001.388390245687</v>
          </cell>
          <cell r="K27">
            <v>39926.372305157689</v>
          </cell>
          <cell r="L27">
            <v>43851.356220069691</v>
          </cell>
          <cell r="M27">
            <v>47776.340134981692</v>
          </cell>
          <cell r="N27">
            <v>51701.324049893694</v>
          </cell>
        </row>
        <row r="28">
          <cell r="A28" t="str">
            <v>Embarcaciones y equipo de flota Neto</v>
          </cell>
          <cell r="C28" t="str">
            <v>(153)=(150)-(152)</v>
          </cell>
          <cell r="D28">
            <v>74867.400859226327</v>
          </cell>
          <cell r="E28">
            <v>70942.416944314318</v>
          </cell>
          <cell r="F28">
            <v>67017.433029402324</v>
          </cell>
          <cell r="G28">
            <v>63092.449114490322</v>
          </cell>
          <cell r="H28">
            <v>59167.465199578321</v>
          </cell>
          <cell r="I28">
            <v>55242.481284666319</v>
          </cell>
          <cell r="J28">
            <v>51317.497369754317</v>
          </cell>
          <cell r="K28">
            <v>47392.513454842316</v>
          </cell>
          <cell r="L28">
            <v>43467.529539930314</v>
          </cell>
          <cell r="M28">
            <v>39542.545625018312</v>
          </cell>
          <cell r="N28">
            <v>35617.561710106311</v>
          </cell>
        </row>
        <row r="30">
          <cell r="A30" t="str">
            <v>Depreciación lineal:</v>
          </cell>
          <cell r="B30">
            <v>4.4999999999999998E-2</v>
          </cell>
          <cell r="C30" t="str">
            <v>(154)</v>
          </cell>
        </row>
        <row r="32">
          <cell r="A32" t="str">
            <v>Embarcaciones y equipo de flota leasing bruto</v>
          </cell>
          <cell r="C32" t="str">
            <v>(155)=(155)-1</v>
          </cell>
          <cell r="D32">
            <v>62536.114239999995</v>
          </cell>
          <cell r="E32">
            <v>62536.114239999995</v>
          </cell>
          <cell r="F32">
            <v>62536.114239999995</v>
          </cell>
          <cell r="G32">
            <v>62536.114239999995</v>
          </cell>
          <cell r="H32">
            <v>62536.114239999995</v>
          </cell>
          <cell r="I32">
            <v>62536.114239999995</v>
          </cell>
          <cell r="J32">
            <v>62536.114239999995</v>
          </cell>
          <cell r="K32">
            <v>62536.114239999995</v>
          </cell>
          <cell r="L32">
            <v>62536.114239999995</v>
          </cell>
          <cell r="M32">
            <v>62536.114239999995</v>
          </cell>
          <cell r="N32">
            <v>62536.114239999995</v>
          </cell>
        </row>
        <row r="33">
          <cell r="A33" t="str">
            <v>Depreciación del periodo</v>
          </cell>
          <cell r="C33" t="str">
            <v>(156)=(155)x(154)</v>
          </cell>
          <cell r="E33">
            <v>2814.1251407999998</v>
          </cell>
          <cell r="F33">
            <v>2814.1251407999998</v>
          </cell>
          <cell r="G33">
            <v>2814.1251407999998</v>
          </cell>
          <cell r="H33">
            <v>2814.1251407999998</v>
          </cell>
          <cell r="I33">
            <v>2814.1251407999998</v>
          </cell>
          <cell r="J33">
            <v>2814.1251407999998</v>
          </cell>
          <cell r="K33">
            <v>2814.1251407999998</v>
          </cell>
          <cell r="L33">
            <v>2814.1251407999998</v>
          </cell>
          <cell r="M33">
            <v>2814.1251407999998</v>
          </cell>
          <cell r="N33">
            <v>2814.1251407999998</v>
          </cell>
        </row>
        <row r="34">
          <cell r="A34" t="str">
            <v>Depreciación Acumulada</v>
          </cell>
          <cell r="C34" t="str">
            <v>(157)=(157)-1 +(156)</v>
          </cell>
          <cell r="D34">
            <v>8917.515099226317</v>
          </cell>
          <cell r="E34">
            <v>11731.640240026318</v>
          </cell>
          <cell r="F34">
            <v>14545.765380826317</v>
          </cell>
          <cell r="G34">
            <v>17359.890521626316</v>
          </cell>
          <cell r="H34">
            <v>20174.015662426315</v>
          </cell>
          <cell r="I34">
            <v>22988.140803226313</v>
          </cell>
          <cell r="J34">
            <v>25802.265944026312</v>
          </cell>
          <cell r="K34">
            <v>28616.391084826311</v>
          </cell>
          <cell r="L34">
            <v>31430.51622562631</v>
          </cell>
          <cell r="M34">
            <v>34244.641366426309</v>
          </cell>
          <cell r="N34">
            <v>37058.766507226312</v>
          </cell>
        </row>
        <row r="35">
          <cell r="A35" t="str">
            <v>Embarcaciones y equipo de flota Leasing Neto</v>
          </cell>
          <cell r="C35" t="str">
            <v>(158)=(155)-(157)</v>
          </cell>
          <cell r="D35">
            <v>53618.59914077368</v>
          </cell>
          <cell r="E35">
            <v>50804.473999973678</v>
          </cell>
          <cell r="F35">
            <v>47990.348859173682</v>
          </cell>
          <cell r="G35">
            <v>45176.22371837368</v>
          </cell>
          <cell r="H35">
            <v>42362.098577573677</v>
          </cell>
          <cell r="I35">
            <v>39547.973436773682</v>
          </cell>
          <cell r="J35">
            <v>36733.848295973687</v>
          </cell>
          <cell r="K35">
            <v>33919.723155173684</v>
          </cell>
          <cell r="L35">
            <v>31105.598014373685</v>
          </cell>
          <cell r="M35">
            <v>28291.472873573686</v>
          </cell>
          <cell r="N35">
            <v>25477.347732773684</v>
          </cell>
        </row>
        <row r="37">
          <cell r="A37" t="str">
            <v>Depreciación lineal:</v>
          </cell>
          <cell r="B37">
            <v>5.7000000000000002E-2</v>
          </cell>
          <cell r="C37" t="str">
            <v>(159)</v>
          </cell>
        </row>
        <row r="39">
          <cell r="A39" t="str">
            <v>Maquinaria y Equipo Bruto</v>
          </cell>
          <cell r="C39" t="str">
            <v>(160)=(160)-1</v>
          </cell>
          <cell r="D39">
            <v>136273</v>
          </cell>
          <cell r="E39">
            <v>136273</v>
          </cell>
          <cell r="F39">
            <v>133273</v>
          </cell>
          <cell r="G39">
            <v>128273</v>
          </cell>
          <cell r="H39">
            <v>126273</v>
          </cell>
          <cell r="I39">
            <v>126273</v>
          </cell>
          <cell r="J39">
            <v>126273</v>
          </cell>
          <cell r="K39">
            <v>126273</v>
          </cell>
          <cell r="L39">
            <v>126273</v>
          </cell>
          <cell r="M39">
            <v>126273</v>
          </cell>
          <cell r="N39">
            <v>126273</v>
          </cell>
        </row>
        <row r="40">
          <cell r="A40" t="str">
            <v>Depreciación del periodo</v>
          </cell>
          <cell r="C40" t="str">
            <v>(161)=(160)x(159)</v>
          </cell>
          <cell r="E40">
            <v>7767.5610000000006</v>
          </cell>
          <cell r="F40">
            <v>7596.5610000000006</v>
          </cell>
          <cell r="G40">
            <v>7311.5610000000006</v>
          </cell>
          <cell r="H40">
            <v>7197.5610000000006</v>
          </cell>
          <cell r="I40">
            <v>7197.5610000000006</v>
          </cell>
          <cell r="J40">
            <v>7197.5610000000006</v>
          </cell>
          <cell r="K40">
            <v>7197.5610000000006</v>
          </cell>
          <cell r="L40">
            <v>7197.5610000000006</v>
          </cell>
          <cell r="M40">
            <v>7197.5610000000006</v>
          </cell>
          <cell r="N40">
            <v>7197.5610000000006</v>
          </cell>
        </row>
        <row r="41">
          <cell r="A41" t="str">
            <v>Depreciación Acumulada</v>
          </cell>
          <cell r="C41" t="str">
            <v>(162)=(162)-1 +(161)</v>
          </cell>
          <cell r="D41">
            <v>19503</v>
          </cell>
          <cell r="E41">
            <v>27270.561000000002</v>
          </cell>
          <cell r="F41">
            <v>34867.122000000003</v>
          </cell>
          <cell r="G41">
            <v>42178.683000000005</v>
          </cell>
          <cell r="H41">
            <v>49376.244000000006</v>
          </cell>
          <cell r="I41">
            <v>56573.805000000008</v>
          </cell>
          <cell r="J41">
            <v>63771.366000000009</v>
          </cell>
          <cell r="K41">
            <v>70968.927000000011</v>
          </cell>
          <cell r="L41">
            <v>78166.488000000012</v>
          </cell>
          <cell r="M41">
            <v>85364.049000000014</v>
          </cell>
          <cell r="N41">
            <v>92561.610000000015</v>
          </cell>
        </row>
        <row r="42">
          <cell r="A42" t="str">
            <v>Maquinaria y Equipo Neto</v>
          </cell>
          <cell r="C42" t="str">
            <v>(163)=(160)-(162)</v>
          </cell>
          <cell r="D42">
            <v>116770</v>
          </cell>
          <cell r="E42">
            <v>109002.439</v>
          </cell>
          <cell r="F42">
            <v>98405.877999999997</v>
          </cell>
          <cell r="G42">
            <v>86094.316999999995</v>
          </cell>
          <cell r="H42">
            <v>76896.755999999994</v>
          </cell>
          <cell r="I42">
            <v>69699.194999999992</v>
          </cell>
          <cell r="J42">
            <v>62501.633999999991</v>
          </cell>
          <cell r="K42">
            <v>55304.072999999989</v>
          </cell>
          <cell r="L42">
            <v>48106.511999999988</v>
          </cell>
          <cell r="M42">
            <v>40908.950999999986</v>
          </cell>
          <cell r="N42">
            <v>33711.389999999985</v>
          </cell>
        </row>
        <row r="44">
          <cell r="A44" t="str">
            <v>Depreciación lineal:</v>
          </cell>
          <cell r="C44" t="str">
            <v>(164)</v>
          </cell>
        </row>
        <row r="46">
          <cell r="A46" t="str">
            <v>Maquinaria y Equipo leasing Bruto</v>
          </cell>
          <cell r="C46" t="str">
            <v>(165)=(165)-1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Depreciación del periodo</v>
          </cell>
          <cell r="C47" t="str">
            <v>(166)=(165)x(164)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Depreciación Acumulada</v>
          </cell>
          <cell r="C48" t="str">
            <v>(167)=(167)-1 +(166)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Maquinaria y Equipo Leasing Neto</v>
          </cell>
          <cell r="C49" t="str">
            <v>(168)=(165)-(167)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1">
          <cell r="A51" t="str">
            <v>Depreciación lineal:</v>
          </cell>
          <cell r="B51">
            <v>0.15</v>
          </cell>
          <cell r="C51" t="str">
            <v>(169)</v>
          </cell>
        </row>
        <row r="53">
          <cell r="A53" t="str">
            <v>Vehículos, Muebles y Enseres  Bruto</v>
          </cell>
          <cell r="C53" t="str">
            <v>(170)=(170)-1</v>
          </cell>
          <cell r="D53">
            <v>5964</v>
          </cell>
          <cell r="E53">
            <v>5964</v>
          </cell>
          <cell r="F53">
            <v>5964</v>
          </cell>
          <cell r="G53">
            <v>5964</v>
          </cell>
          <cell r="H53">
            <v>5964</v>
          </cell>
          <cell r="I53">
            <v>5964</v>
          </cell>
          <cell r="J53">
            <v>5964</v>
          </cell>
          <cell r="K53">
            <v>5964</v>
          </cell>
          <cell r="L53">
            <v>5964</v>
          </cell>
          <cell r="M53">
            <v>5964</v>
          </cell>
          <cell r="N53">
            <v>5964</v>
          </cell>
        </row>
        <row r="54">
          <cell r="A54" t="str">
            <v>Depreciación del periodo</v>
          </cell>
          <cell r="C54" t="str">
            <v>(171)=(170)x(169)</v>
          </cell>
          <cell r="E54">
            <v>894.6</v>
          </cell>
          <cell r="F54">
            <v>894.6</v>
          </cell>
          <cell r="G54">
            <v>894.6</v>
          </cell>
          <cell r="H54">
            <v>894.6</v>
          </cell>
          <cell r="I54">
            <v>579.59999999999945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Depreciación Acumulada</v>
          </cell>
          <cell r="C55" t="str">
            <v>(172)=(172)-1 +(171)</v>
          </cell>
          <cell r="D55">
            <v>1806</v>
          </cell>
          <cell r="E55">
            <v>2700.6</v>
          </cell>
          <cell r="F55">
            <v>3595.2</v>
          </cell>
          <cell r="G55">
            <v>4489.8</v>
          </cell>
          <cell r="H55">
            <v>5384.4000000000005</v>
          </cell>
          <cell r="I55">
            <v>5964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Vehículos, Muebles y Enseres Neto</v>
          </cell>
          <cell r="C56" t="str">
            <v>(173)=(170)-(172)</v>
          </cell>
          <cell r="D56">
            <v>4158</v>
          </cell>
          <cell r="E56">
            <v>3263.4</v>
          </cell>
          <cell r="F56">
            <v>2368.8000000000002</v>
          </cell>
          <cell r="G56">
            <v>1474.1999999999998</v>
          </cell>
          <cell r="H56">
            <v>579.59999999999945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8">
          <cell r="A58" t="str">
            <v>Depreciación lineal:</v>
          </cell>
          <cell r="C58" t="str">
            <v>(174)</v>
          </cell>
        </row>
        <row r="60">
          <cell r="A60" t="str">
            <v>Vehículos, Muebles y Enseres  leasing Bruto</v>
          </cell>
          <cell r="C60" t="str">
            <v>(175)=(175)-1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Depreciación del periodo</v>
          </cell>
          <cell r="C61" t="str">
            <v>(176)=(175)x(174)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Depreciación Acumulada</v>
          </cell>
          <cell r="C62" t="str">
            <v>(177)=(177)-1 +(176)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 t="str">
            <v>Vehículos, Muebles y Enseres Leasing Neto</v>
          </cell>
          <cell r="C63" t="str">
            <v>(178)=(175)-(177)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5">
          <cell r="A65" t="str">
            <v>Depreciación lineal:</v>
          </cell>
          <cell r="C65" t="str">
            <v>(179)</v>
          </cell>
        </row>
        <row r="67">
          <cell r="A67" t="str">
            <v>CAPEX Bruto</v>
          </cell>
          <cell r="C67" t="str">
            <v>(180)=(180)-1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Depreciación del periodo</v>
          </cell>
          <cell r="C68" t="str">
            <v>(181)=(180)x(179)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Depreciación Acumulada</v>
          </cell>
          <cell r="C69" t="str">
            <v>(182)=(182)-1 +(181)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CAPEX Neto</v>
          </cell>
          <cell r="C70" t="str">
            <v>(183)=(180)-(182)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2">
          <cell r="A72" t="str">
            <v>Depreciación lineal:</v>
          </cell>
          <cell r="B72">
            <v>4.4999999999999998E-2</v>
          </cell>
          <cell r="C72" t="str">
            <v>(184)</v>
          </cell>
        </row>
        <row r="74">
          <cell r="A74" t="str">
            <v>CAPEX leasing Bruto</v>
          </cell>
          <cell r="C74" t="str">
            <v>(185)=(185)-1</v>
          </cell>
          <cell r="E74">
            <v>20696.964</v>
          </cell>
          <cell r="F74">
            <v>20696.964</v>
          </cell>
          <cell r="G74">
            <v>20696.964</v>
          </cell>
          <cell r="H74">
            <v>20696.964</v>
          </cell>
          <cell r="I74">
            <v>20696.964</v>
          </cell>
          <cell r="J74">
            <v>20696.964</v>
          </cell>
          <cell r="K74">
            <v>20696.964</v>
          </cell>
          <cell r="L74">
            <v>20696.964</v>
          </cell>
          <cell r="M74">
            <v>20696.964</v>
          </cell>
          <cell r="N74">
            <v>20696.964</v>
          </cell>
        </row>
        <row r="75">
          <cell r="A75" t="str">
            <v>Depreciación del periodo</v>
          </cell>
          <cell r="C75" t="str">
            <v>(186)=(185)x(184)</v>
          </cell>
          <cell r="E75">
            <v>465.68169</v>
          </cell>
          <cell r="F75">
            <v>931.36338000000001</v>
          </cell>
          <cell r="G75">
            <v>931.36338000000001</v>
          </cell>
          <cell r="H75">
            <v>931.36338000000001</v>
          </cell>
          <cell r="I75">
            <v>931.36338000000001</v>
          </cell>
          <cell r="J75">
            <v>931.36338000000001</v>
          </cell>
          <cell r="K75">
            <v>931.36338000000001</v>
          </cell>
          <cell r="L75">
            <v>931.36338000000001</v>
          </cell>
          <cell r="M75">
            <v>931.36338000000001</v>
          </cell>
          <cell r="N75">
            <v>931.36338000000001</v>
          </cell>
        </row>
        <row r="76">
          <cell r="A76" t="str">
            <v>Depreciación Acumulada</v>
          </cell>
          <cell r="C76" t="str">
            <v>(187)=(187)-1 +(186)</v>
          </cell>
          <cell r="E76">
            <v>465.68169</v>
          </cell>
          <cell r="F76">
            <v>1397.0450700000001</v>
          </cell>
          <cell r="G76">
            <v>2328.4084499999999</v>
          </cell>
          <cell r="H76">
            <v>3259.7718299999997</v>
          </cell>
          <cell r="I76">
            <v>4191.1352099999995</v>
          </cell>
          <cell r="J76">
            <v>5122.4985899999992</v>
          </cell>
          <cell r="K76">
            <v>6053.861969999999</v>
          </cell>
          <cell r="L76">
            <v>6985.2253499999988</v>
          </cell>
          <cell r="M76">
            <v>7916.5887299999986</v>
          </cell>
          <cell r="N76">
            <v>8847.9521099999984</v>
          </cell>
        </row>
        <row r="77">
          <cell r="A77" t="str">
            <v>CAPEX Leasing Neto</v>
          </cell>
          <cell r="C77" t="str">
            <v>(188)=(185)-(187)</v>
          </cell>
          <cell r="E77">
            <v>20231.282309999999</v>
          </cell>
          <cell r="F77">
            <v>19299.91893</v>
          </cell>
          <cell r="G77">
            <v>18368.555550000001</v>
          </cell>
          <cell r="H77">
            <v>17437.192170000002</v>
          </cell>
          <cell r="I77">
            <v>16505.82879</v>
          </cell>
          <cell r="J77">
            <v>15574.465410000001</v>
          </cell>
          <cell r="K77">
            <v>14643.102030000002</v>
          </cell>
          <cell r="L77">
            <v>13711.738650000001</v>
          </cell>
          <cell r="M77">
            <v>12780.37527</v>
          </cell>
          <cell r="N77">
            <v>11849.011890000002</v>
          </cell>
        </row>
        <row r="79">
          <cell r="A79" t="str">
            <v>Depreciación lineal:</v>
          </cell>
          <cell r="B79">
            <v>0.1</v>
          </cell>
          <cell r="C79" t="str">
            <v>(189)</v>
          </cell>
        </row>
        <row r="81">
          <cell r="A81" t="str">
            <v>Unidades por recibir Bruto</v>
          </cell>
          <cell r="C81" t="str">
            <v>(190)=(190)-1</v>
          </cell>
          <cell r="D81">
            <v>3052</v>
          </cell>
          <cell r="E81">
            <v>3052</v>
          </cell>
          <cell r="F81">
            <v>3052</v>
          </cell>
          <cell r="G81">
            <v>3052</v>
          </cell>
          <cell r="H81">
            <v>3052</v>
          </cell>
          <cell r="I81">
            <v>3052</v>
          </cell>
          <cell r="J81">
            <v>3052</v>
          </cell>
          <cell r="K81">
            <v>3052</v>
          </cell>
          <cell r="L81">
            <v>3052</v>
          </cell>
          <cell r="M81">
            <v>3052</v>
          </cell>
          <cell r="N81">
            <v>3052</v>
          </cell>
        </row>
        <row r="82">
          <cell r="A82" t="str">
            <v>Depreciación del periodo</v>
          </cell>
          <cell r="C82" t="str">
            <v>(191)=(190)x(189)</v>
          </cell>
          <cell r="E82">
            <v>305.2</v>
          </cell>
          <cell r="F82">
            <v>305.2</v>
          </cell>
          <cell r="G82">
            <v>305.2</v>
          </cell>
          <cell r="H82">
            <v>305.2</v>
          </cell>
          <cell r="I82">
            <v>305.2</v>
          </cell>
          <cell r="J82">
            <v>305.2</v>
          </cell>
          <cell r="K82">
            <v>305.2</v>
          </cell>
          <cell r="L82">
            <v>305.2</v>
          </cell>
          <cell r="M82">
            <v>305.2</v>
          </cell>
          <cell r="N82">
            <v>186.20000000000027</v>
          </cell>
        </row>
        <row r="83">
          <cell r="A83" t="str">
            <v>Depreciación Acumulada</v>
          </cell>
          <cell r="C83" t="str">
            <v>(192)=(192)-1 +(191)</v>
          </cell>
          <cell r="D83">
            <v>119</v>
          </cell>
          <cell r="E83">
            <v>424.2</v>
          </cell>
          <cell r="F83">
            <v>729.4</v>
          </cell>
          <cell r="G83">
            <v>1034.5999999999999</v>
          </cell>
          <cell r="H83">
            <v>1339.8</v>
          </cell>
          <cell r="I83">
            <v>1645</v>
          </cell>
          <cell r="J83">
            <v>1950.2</v>
          </cell>
          <cell r="K83">
            <v>2255.4</v>
          </cell>
          <cell r="L83">
            <v>2560.6</v>
          </cell>
          <cell r="M83">
            <v>2865.7999999999997</v>
          </cell>
          <cell r="N83">
            <v>3052</v>
          </cell>
        </row>
        <row r="84">
          <cell r="A84" t="str">
            <v>Unidades por recibir Neto</v>
          </cell>
          <cell r="C84" t="str">
            <v>(193)=(190)-(192)</v>
          </cell>
          <cell r="D84">
            <v>2933</v>
          </cell>
          <cell r="E84">
            <v>2627.8</v>
          </cell>
          <cell r="F84">
            <v>2322.6</v>
          </cell>
          <cell r="G84">
            <v>2017.4</v>
          </cell>
          <cell r="H84">
            <v>1712.2</v>
          </cell>
          <cell r="I84">
            <v>1407</v>
          </cell>
          <cell r="J84">
            <v>1101.8</v>
          </cell>
          <cell r="K84">
            <v>796.59999999999991</v>
          </cell>
          <cell r="L84">
            <v>491.40000000000009</v>
          </cell>
          <cell r="M84">
            <v>186.20000000000027</v>
          </cell>
          <cell r="N84">
            <v>0</v>
          </cell>
        </row>
        <row r="86">
          <cell r="A86" t="str">
            <v>Depreciación lineal:</v>
          </cell>
          <cell r="C86" t="str">
            <v>(194)</v>
          </cell>
        </row>
        <row r="88">
          <cell r="A88" t="str">
            <v>Activos Fijos no depreciables</v>
          </cell>
          <cell r="C88" t="str">
            <v>(195)=(195)-1</v>
          </cell>
          <cell r="D88">
            <v>28293</v>
          </cell>
          <cell r="E88">
            <v>28293</v>
          </cell>
          <cell r="F88">
            <v>28293</v>
          </cell>
          <cell r="G88">
            <v>28293</v>
          </cell>
          <cell r="H88">
            <v>28293</v>
          </cell>
          <cell r="I88">
            <v>28293</v>
          </cell>
          <cell r="J88">
            <v>28293</v>
          </cell>
          <cell r="K88">
            <v>28293</v>
          </cell>
          <cell r="L88">
            <v>28293</v>
          </cell>
          <cell r="M88">
            <v>28293</v>
          </cell>
          <cell r="N88">
            <v>28293</v>
          </cell>
        </row>
        <row r="89">
          <cell r="A89" t="str">
            <v>Depreciación del periodo</v>
          </cell>
          <cell r="C89" t="str">
            <v>(196)=(195)x(194)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Depreciación Acumulada</v>
          </cell>
          <cell r="C90" t="str">
            <v>(197)=(197)-1 +(196)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 t="str">
            <v>Activos Fijos Diversos Neto</v>
          </cell>
          <cell r="C91" t="str">
            <v>(198)=(195)-(197)</v>
          </cell>
          <cell r="D91">
            <v>28293</v>
          </cell>
          <cell r="E91">
            <v>28293</v>
          </cell>
          <cell r="F91">
            <v>28293</v>
          </cell>
          <cell r="G91">
            <v>28293</v>
          </cell>
          <cell r="H91">
            <v>28293</v>
          </cell>
          <cell r="I91">
            <v>28293</v>
          </cell>
          <cell r="J91">
            <v>28293</v>
          </cell>
          <cell r="K91">
            <v>28293</v>
          </cell>
          <cell r="L91">
            <v>28293</v>
          </cell>
          <cell r="M91">
            <v>28293</v>
          </cell>
          <cell r="N91">
            <v>28293</v>
          </cell>
        </row>
        <row r="93">
          <cell r="A93" t="str">
            <v>Total Depreciación Contable del Periodo</v>
          </cell>
          <cell r="C93" t="str">
            <v>(199)</v>
          </cell>
          <cell r="E93">
            <v>16687.351745712</v>
          </cell>
          <cell r="F93">
            <v>16982.033435711997</v>
          </cell>
          <cell r="G93">
            <v>16697.033435711997</v>
          </cell>
          <cell r="H93">
            <v>16583.033435711997</v>
          </cell>
          <cell r="I93">
            <v>16268.033435711999</v>
          </cell>
          <cell r="J93">
            <v>15688.433435712001</v>
          </cell>
          <cell r="K93">
            <v>15688.433435712001</v>
          </cell>
          <cell r="L93">
            <v>15688.433435712001</v>
          </cell>
          <cell r="M93">
            <v>15688.433435712001</v>
          </cell>
          <cell r="N93">
            <v>15569.433435712001</v>
          </cell>
        </row>
        <row r="94">
          <cell r="A94" t="str">
            <v>Total Activo Fijo Neto</v>
          </cell>
          <cell r="C94" t="str">
            <v>(200)</v>
          </cell>
          <cell r="D94">
            <v>304565</v>
          </cell>
          <cell r="E94">
            <v>308574.61225428799</v>
          </cell>
          <cell r="F94">
            <v>288592.578818576</v>
          </cell>
          <cell r="G94">
            <v>266895.54538286402</v>
          </cell>
          <cell r="H94">
            <v>248312.51194715203</v>
          </cell>
          <cell r="I94">
            <v>232044.47851143999</v>
          </cell>
          <cell r="J94">
            <v>216356.04507572798</v>
          </cell>
          <cell r="K94">
            <v>200667.611640016</v>
          </cell>
          <cell r="L94">
            <v>184979.17820430399</v>
          </cell>
          <cell r="M94">
            <v>169290.74476859201</v>
          </cell>
          <cell r="N94">
            <v>153721.31133288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7"/>
  <sheetViews>
    <sheetView tabSelected="1" topLeftCell="G63" zoomScale="80" zoomScaleNormal="80" workbookViewId="0">
      <selection activeCell="U74" sqref="U74"/>
    </sheetView>
  </sheetViews>
  <sheetFormatPr baseColWidth="10" defaultColWidth="11.42578125" defaultRowHeight="17.25" x14ac:dyDescent="0.3"/>
  <cols>
    <col min="1" max="1" width="34.42578125" style="1" hidden="1" customWidth="1"/>
    <col min="2" max="2" width="11.42578125" style="1" hidden="1" customWidth="1"/>
    <col min="3" max="6" width="0" style="1" hidden="1" customWidth="1"/>
    <col min="7" max="7" width="6.85546875" style="1" customWidth="1"/>
    <col min="8" max="8" width="52.140625" style="1" customWidth="1"/>
    <col min="9" max="9" width="15.140625" style="1" customWidth="1"/>
    <col min="10" max="10" width="13.7109375" style="1" customWidth="1"/>
    <col min="11" max="11" width="14.7109375" style="1" customWidth="1"/>
    <col min="12" max="12" width="11.140625" style="1" customWidth="1"/>
    <col min="13" max="13" width="8.7109375" style="1" customWidth="1"/>
    <col min="14" max="14" width="5.28515625" style="1" customWidth="1"/>
    <col min="15" max="15" width="27.7109375" style="1" customWidth="1"/>
    <col min="16" max="19" width="13.7109375" style="1" customWidth="1"/>
    <col min="20" max="16384" width="11.42578125" style="1"/>
  </cols>
  <sheetData>
    <row r="1" spans="1:52" x14ac:dyDescent="0.3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52" x14ac:dyDescent="0.3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52" x14ac:dyDescent="0.3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52" ht="18" thickBot="1" x14ac:dyDescent="0.35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52" ht="20.25" customHeight="1" thickBot="1" x14ac:dyDescent="0.3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4" t="s">
        <v>5</v>
      </c>
      <c r="G5" s="140" t="s">
        <v>6</v>
      </c>
      <c r="H5" s="141"/>
      <c r="I5" s="141"/>
      <c r="J5" s="141"/>
      <c r="K5" s="141"/>
      <c r="L5" s="141"/>
      <c r="M5" s="14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52" x14ac:dyDescent="0.3">
      <c r="A6" s="5"/>
      <c r="B6" s="6"/>
      <c r="C6" s="6"/>
      <c r="D6" s="6"/>
      <c r="E6" s="6"/>
      <c r="F6" s="6"/>
      <c r="G6" s="2"/>
      <c r="H6" s="7" t="s">
        <v>7</v>
      </c>
      <c r="I6" s="8"/>
      <c r="J6" s="8"/>
      <c r="K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8" thickBot="1" x14ac:dyDescent="0.35">
      <c r="A7" s="9" t="s">
        <v>8</v>
      </c>
      <c r="B7" s="6"/>
      <c r="C7" s="6"/>
      <c r="D7" s="6"/>
      <c r="E7" s="6"/>
      <c r="F7" s="6"/>
      <c r="G7" s="2"/>
      <c r="H7" s="2" t="s">
        <v>9</v>
      </c>
      <c r="I7" s="8"/>
      <c r="J7" s="8"/>
      <c r="K7" s="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x14ac:dyDescent="0.3">
      <c r="A8" s="10" t="s">
        <v>10</v>
      </c>
      <c r="H8" s="11"/>
      <c r="I8" s="143" t="s">
        <v>3</v>
      </c>
      <c r="J8" s="143" t="s">
        <v>4</v>
      </c>
      <c r="K8" s="143" t="s">
        <v>5</v>
      </c>
      <c r="L8" s="145" t="s">
        <v>11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52" x14ac:dyDescent="0.3">
      <c r="A9" s="6" t="s">
        <v>12</v>
      </c>
      <c r="B9" s="12">
        <v>18414</v>
      </c>
      <c r="C9" s="12">
        <v>30390</v>
      </c>
      <c r="D9" s="12">
        <v>80628</v>
      </c>
      <c r="E9" s="12">
        <v>62721</v>
      </c>
      <c r="F9" s="12">
        <v>59159</v>
      </c>
      <c r="H9" s="13"/>
      <c r="I9" s="144"/>
      <c r="J9" s="144"/>
      <c r="K9" s="144"/>
      <c r="L9" s="146"/>
      <c r="M9" s="2"/>
      <c r="N9" s="1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52" x14ac:dyDescent="0.3">
      <c r="A10" s="6" t="s">
        <v>13</v>
      </c>
      <c r="B10" s="15">
        <v>956091</v>
      </c>
      <c r="C10" s="15">
        <v>973256</v>
      </c>
      <c r="D10" s="15">
        <v>1169801</v>
      </c>
      <c r="E10" s="15">
        <v>1474924</v>
      </c>
      <c r="F10" s="15">
        <v>1309020</v>
      </c>
      <c r="H10" s="16" t="s">
        <v>14</v>
      </c>
      <c r="I10" s="17"/>
      <c r="J10" s="18"/>
      <c r="K10" s="18"/>
      <c r="L10" s="1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52" x14ac:dyDescent="0.3">
      <c r="A11" s="6" t="s">
        <v>15</v>
      </c>
      <c r="B11" s="20">
        <f>B9/B10</f>
        <v>1.9259672980919181E-2</v>
      </c>
      <c r="C11" s="20">
        <f t="shared" ref="C11:F11" si="0">C9/C10</f>
        <v>3.12250836367821E-2</v>
      </c>
      <c r="D11" s="20">
        <f t="shared" si="0"/>
        <v>6.8924543576215094E-2</v>
      </c>
      <c r="E11" s="20">
        <f t="shared" si="0"/>
        <v>4.2524902978051747E-2</v>
      </c>
      <c r="F11" s="20">
        <f t="shared" si="0"/>
        <v>4.5193350750943453E-2</v>
      </c>
      <c r="H11" s="21" t="s">
        <v>16</v>
      </c>
      <c r="I11" s="22"/>
      <c r="J11" s="23"/>
      <c r="K11" s="23"/>
      <c r="L11" s="2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52" x14ac:dyDescent="0.3">
      <c r="A12" s="10" t="s">
        <v>17</v>
      </c>
      <c r="B12" s="6"/>
      <c r="C12" s="6"/>
      <c r="D12" s="6"/>
      <c r="E12" s="6"/>
      <c r="F12" s="6"/>
      <c r="H12" s="25" t="s">
        <v>18</v>
      </c>
      <c r="I12" s="26">
        <v>272560</v>
      </c>
      <c r="J12" s="26">
        <v>119623</v>
      </c>
      <c r="K12" s="26">
        <v>157997</v>
      </c>
      <c r="L12" s="27">
        <v>193042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52" x14ac:dyDescent="0.3">
      <c r="A13" s="6" t="s">
        <v>19</v>
      </c>
      <c r="B13" s="15">
        <v>956091</v>
      </c>
      <c r="C13" s="15">
        <v>973256</v>
      </c>
      <c r="D13" s="15">
        <v>1169801</v>
      </c>
      <c r="E13" s="15">
        <v>1474924</v>
      </c>
      <c r="F13" s="15">
        <v>1309020</v>
      </c>
      <c r="H13" s="25" t="s">
        <v>20</v>
      </c>
      <c r="I13" s="28">
        <v>266025</v>
      </c>
      <c r="J13" s="28">
        <v>314413</v>
      </c>
      <c r="K13" s="28">
        <v>257014</v>
      </c>
      <c r="L13" s="29">
        <v>232671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52" x14ac:dyDescent="0.3">
      <c r="A14" s="6" t="s">
        <v>21</v>
      </c>
      <c r="B14" s="30">
        <f t="shared" ref="B14:D14" si="1">I62</f>
        <v>-1017496</v>
      </c>
      <c r="C14" s="30">
        <f t="shared" si="1"/>
        <v>-1286731</v>
      </c>
      <c r="D14" s="30">
        <f t="shared" si="1"/>
        <v>-1123848</v>
      </c>
      <c r="E14" s="30">
        <f>L62</f>
        <v>-814012</v>
      </c>
      <c r="F14" s="30" t="e">
        <f>#REF!</f>
        <v>#REF!</v>
      </c>
      <c r="H14" s="25" t="s">
        <v>22</v>
      </c>
      <c r="I14" s="28">
        <v>25716</v>
      </c>
      <c r="J14" s="28">
        <v>27955</v>
      </c>
      <c r="K14" s="28">
        <v>25261</v>
      </c>
      <c r="L14" s="29">
        <v>52319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52" x14ac:dyDescent="0.3">
      <c r="A15" s="6" t="s">
        <v>19</v>
      </c>
      <c r="B15" s="15">
        <v>956091</v>
      </c>
      <c r="C15" s="15">
        <v>973256</v>
      </c>
      <c r="D15" s="15">
        <v>1169801</v>
      </c>
      <c r="E15" s="15">
        <v>1474924</v>
      </c>
      <c r="F15" s="15">
        <v>1309020</v>
      </c>
      <c r="H15" s="25" t="s">
        <v>23</v>
      </c>
      <c r="I15" s="28">
        <v>43451</v>
      </c>
      <c r="J15" s="28">
        <v>58521</v>
      </c>
      <c r="K15" s="28">
        <v>35623</v>
      </c>
      <c r="L15" s="29">
        <v>46753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52" ht="19.5" customHeight="1" x14ac:dyDescent="0.3">
      <c r="A16" s="5" t="s">
        <v>24</v>
      </c>
      <c r="B16" s="20">
        <f>(B13+B14)/B15</f>
        <v>-6.422505807501587E-2</v>
      </c>
      <c r="C16" s="20">
        <f t="shared" ref="C16:F16" si="2">(C13+C14)/C15</f>
        <v>-0.32208894679303285</v>
      </c>
      <c r="D16" s="20">
        <f t="shared" si="2"/>
        <v>3.9282749801034536E-2</v>
      </c>
      <c r="E16" s="20">
        <f t="shared" si="2"/>
        <v>0.44809902069530361</v>
      </c>
      <c r="F16" s="20" t="e">
        <f t="shared" si="2"/>
        <v>#REF!</v>
      </c>
      <c r="H16" s="25" t="s">
        <v>25</v>
      </c>
      <c r="I16" s="28">
        <v>29237</v>
      </c>
      <c r="J16" s="28">
        <v>43359</v>
      </c>
      <c r="K16" s="28">
        <v>48581</v>
      </c>
      <c r="L16" s="29">
        <v>62086</v>
      </c>
      <c r="M16" s="2"/>
      <c r="N16" s="2"/>
      <c r="O16" s="118"/>
      <c r="P16" s="113" t="s">
        <v>3</v>
      </c>
      <c r="Q16" s="113" t="s">
        <v>4</v>
      </c>
      <c r="R16" s="113" t="s">
        <v>5</v>
      </c>
      <c r="S16" s="113" t="s">
        <v>11</v>
      </c>
      <c r="T16" s="2"/>
      <c r="U16" s="2"/>
      <c r="V16" s="2"/>
      <c r="W16" s="2"/>
      <c r="X16" s="2"/>
      <c r="Y16" s="2"/>
      <c r="Z16" s="2"/>
      <c r="AA16" s="2"/>
    </row>
    <row r="17" spans="1:27" x14ac:dyDescent="0.3">
      <c r="A17" s="10" t="s">
        <v>26</v>
      </c>
      <c r="B17" s="6"/>
      <c r="C17" s="6"/>
      <c r="D17" s="6"/>
      <c r="E17" s="6"/>
      <c r="F17" s="6"/>
      <c r="H17" s="25" t="s">
        <v>27</v>
      </c>
      <c r="I17" s="28">
        <v>26303</v>
      </c>
      <c r="J17" s="28">
        <v>65324</v>
      </c>
      <c r="K17" s="28">
        <v>32638</v>
      </c>
      <c r="L17" s="29">
        <v>20405</v>
      </c>
      <c r="M17" s="2"/>
      <c r="N17" s="2"/>
      <c r="O17" s="119" t="s">
        <v>29</v>
      </c>
      <c r="P17" s="114">
        <f>I27</f>
        <v>982138</v>
      </c>
      <c r="Q17" s="114">
        <f t="shared" ref="Q17:S17" si="3">J27</f>
        <v>1170891</v>
      </c>
      <c r="R17" s="114">
        <f t="shared" si="3"/>
        <v>1056836</v>
      </c>
      <c r="S17" s="115">
        <f t="shared" si="3"/>
        <v>1107309</v>
      </c>
      <c r="T17" s="2"/>
      <c r="U17" s="2"/>
      <c r="V17" s="2"/>
      <c r="W17" s="2"/>
      <c r="X17" s="2"/>
      <c r="Y17" s="2"/>
      <c r="Z17" s="2"/>
      <c r="AA17" s="2"/>
    </row>
    <row r="18" spans="1:27" x14ac:dyDescent="0.3">
      <c r="A18" s="6" t="s">
        <v>12</v>
      </c>
      <c r="B18" s="12">
        <v>18414</v>
      </c>
      <c r="C18" s="12">
        <v>30390</v>
      </c>
      <c r="D18" s="12">
        <v>80628</v>
      </c>
      <c r="E18" s="12">
        <v>62721</v>
      </c>
      <c r="F18" s="31">
        <v>59159</v>
      </c>
      <c r="H18" s="32" t="s">
        <v>28</v>
      </c>
      <c r="I18" s="33">
        <v>29363</v>
      </c>
      <c r="J18" s="33">
        <v>73070</v>
      </c>
      <c r="K18" s="33">
        <v>37725</v>
      </c>
      <c r="L18" s="34">
        <v>39930</v>
      </c>
      <c r="M18" s="2"/>
      <c r="N18" s="2"/>
      <c r="O18" s="120" t="s">
        <v>32</v>
      </c>
      <c r="P18" s="114">
        <f>I43</f>
        <v>765891</v>
      </c>
      <c r="Q18" s="114">
        <f t="shared" ref="Q18:S18" si="4">J43</f>
        <v>911830</v>
      </c>
      <c r="R18" s="114">
        <f t="shared" si="4"/>
        <v>740208</v>
      </c>
      <c r="S18" s="116">
        <f t="shared" si="4"/>
        <v>782507</v>
      </c>
      <c r="T18" s="2"/>
      <c r="U18" s="2"/>
      <c r="V18" s="2"/>
      <c r="W18" s="2"/>
      <c r="X18" s="2"/>
      <c r="Y18" s="2"/>
      <c r="Z18" s="2"/>
      <c r="AA18" s="2"/>
    </row>
    <row r="19" spans="1:27" x14ac:dyDescent="0.3">
      <c r="A19" s="6" t="s">
        <v>30</v>
      </c>
      <c r="B19" s="30">
        <f t="shared" ref="B19:D19" si="5">I52</f>
        <v>216247</v>
      </c>
      <c r="C19" s="30">
        <f t="shared" si="5"/>
        <v>259061</v>
      </c>
      <c r="D19" s="30">
        <f t="shared" si="5"/>
        <v>316628</v>
      </c>
      <c r="E19" s="30">
        <f>L52</f>
        <v>324802</v>
      </c>
      <c r="F19" s="30" t="e">
        <f>#REF!</f>
        <v>#REF!</v>
      </c>
      <c r="H19" s="35" t="s">
        <v>31</v>
      </c>
      <c r="I19" s="36">
        <f>SUM(I12:I18)</f>
        <v>692655</v>
      </c>
      <c r="J19" s="36">
        <f>SUM(J12:J18)</f>
        <v>702265</v>
      </c>
      <c r="K19" s="36">
        <f>SUM(K12:K18)</f>
        <v>594839</v>
      </c>
      <c r="L19" s="37">
        <f>SUM(L12:L18)</f>
        <v>647206</v>
      </c>
      <c r="M19" s="2"/>
      <c r="N19" s="2"/>
      <c r="O19" s="120" t="s">
        <v>33</v>
      </c>
      <c r="P19" s="116">
        <f>I52</f>
        <v>216247</v>
      </c>
      <c r="Q19" s="116">
        <f t="shared" ref="Q19:S19" si="6">J52</f>
        <v>259061</v>
      </c>
      <c r="R19" s="116">
        <f t="shared" si="6"/>
        <v>316628</v>
      </c>
      <c r="S19" s="116">
        <f t="shared" si="6"/>
        <v>324802</v>
      </c>
      <c r="T19" s="2"/>
      <c r="U19" s="2"/>
      <c r="V19" s="2"/>
      <c r="W19" s="2"/>
      <c r="X19" s="2"/>
      <c r="Y19" s="2"/>
      <c r="Z19" s="2"/>
      <c r="AA19" s="2"/>
    </row>
    <row r="20" spans="1:27" x14ac:dyDescent="0.3">
      <c r="A20" s="6" t="s">
        <v>26</v>
      </c>
      <c r="B20" s="20">
        <f>B18/B19</f>
        <v>8.5152626394817035E-2</v>
      </c>
      <c r="C20" s="20">
        <f t="shared" ref="C20:F20" si="7">C18/C19</f>
        <v>0.11730827874516041</v>
      </c>
      <c r="D20" s="20">
        <f t="shared" si="7"/>
        <v>0.25464583043824296</v>
      </c>
      <c r="E20" s="20">
        <f t="shared" si="7"/>
        <v>0.1931053380213176</v>
      </c>
      <c r="F20" s="20" t="e">
        <f t="shared" si="7"/>
        <v>#REF!</v>
      </c>
      <c r="H20" s="25" t="s">
        <v>22</v>
      </c>
      <c r="I20" s="38">
        <v>0</v>
      </c>
      <c r="J20" s="38">
        <v>0</v>
      </c>
      <c r="K20" s="38">
        <v>0</v>
      </c>
      <c r="L20" s="39">
        <v>0</v>
      </c>
      <c r="M20" s="2"/>
      <c r="N20" s="2"/>
      <c r="O20" s="120" t="s">
        <v>36</v>
      </c>
      <c r="P20" s="117">
        <f>I53</f>
        <v>982138</v>
      </c>
      <c r="Q20" s="117">
        <f t="shared" ref="Q20:S20" si="8">J53</f>
        <v>1170891</v>
      </c>
      <c r="R20" s="117">
        <f t="shared" si="8"/>
        <v>1056836</v>
      </c>
      <c r="S20" s="117">
        <f t="shared" si="8"/>
        <v>1107309</v>
      </c>
      <c r="T20" s="2"/>
      <c r="U20" s="2"/>
      <c r="V20" s="2"/>
      <c r="W20" s="2"/>
      <c r="X20" s="2"/>
      <c r="Y20" s="2"/>
      <c r="Z20" s="2"/>
      <c r="AA20" s="2"/>
    </row>
    <row r="21" spans="1:27" x14ac:dyDescent="0.3">
      <c r="A21" s="10" t="s">
        <v>34</v>
      </c>
      <c r="B21" s="6"/>
      <c r="C21" s="6"/>
      <c r="D21" s="6"/>
      <c r="E21" s="6"/>
      <c r="F21" s="6"/>
      <c r="H21" s="25" t="s">
        <v>35</v>
      </c>
      <c r="I21" s="28">
        <v>21726</v>
      </c>
      <c r="J21" s="28">
        <v>57351</v>
      </c>
      <c r="K21" s="28">
        <v>84864</v>
      </c>
      <c r="L21" s="29">
        <v>80816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idden="1" x14ac:dyDescent="0.3">
      <c r="A22" s="6" t="s">
        <v>37</v>
      </c>
      <c r="B22" s="30">
        <f t="shared" ref="B22:D22" si="9">I69</f>
        <v>107763</v>
      </c>
      <c r="C22" s="30">
        <f t="shared" si="9"/>
        <v>132183</v>
      </c>
      <c r="D22" s="30">
        <f t="shared" si="9"/>
        <v>114902</v>
      </c>
      <c r="E22" s="30">
        <f>L69</f>
        <v>53724</v>
      </c>
      <c r="F22" s="30" t="e">
        <f>#REF!</f>
        <v>#REF!</v>
      </c>
      <c r="H22" s="25" t="s">
        <v>38</v>
      </c>
      <c r="I22" s="38">
        <v>0</v>
      </c>
      <c r="J22" s="38">
        <v>0</v>
      </c>
      <c r="K22" s="38">
        <v>0</v>
      </c>
      <c r="L22" s="38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idden="1" x14ac:dyDescent="0.3">
      <c r="A23" s="6" t="s">
        <v>39</v>
      </c>
      <c r="B23" s="6">
        <v>0.28000000000000003</v>
      </c>
      <c r="C23" s="6">
        <v>0.28000000000000003</v>
      </c>
      <c r="D23" s="6">
        <v>0.28000000000000003</v>
      </c>
      <c r="E23" s="6">
        <v>0.28000000000000003</v>
      </c>
      <c r="F23" s="6">
        <v>0.28000000000000003</v>
      </c>
      <c r="H23" s="25" t="s">
        <v>40</v>
      </c>
      <c r="I23" s="28">
        <v>0</v>
      </c>
      <c r="J23" s="28">
        <v>0</v>
      </c>
      <c r="K23" s="28">
        <v>0</v>
      </c>
      <c r="L23" s="28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3">
      <c r="A24" s="6" t="s">
        <v>41</v>
      </c>
      <c r="B24" s="30">
        <f t="shared" ref="B24:D24" si="10">I27</f>
        <v>982138</v>
      </c>
      <c r="C24" s="30">
        <f t="shared" si="10"/>
        <v>1170891</v>
      </c>
      <c r="D24" s="30">
        <f t="shared" si="10"/>
        <v>1056836</v>
      </c>
      <c r="E24" s="30">
        <f>L27</f>
        <v>1107309</v>
      </c>
      <c r="F24" s="30" t="e">
        <f>#REF!</f>
        <v>#REF!</v>
      </c>
      <c r="H24" s="25" t="s">
        <v>42</v>
      </c>
      <c r="I24" s="28">
        <v>262992</v>
      </c>
      <c r="J24" s="28">
        <v>394784</v>
      </c>
      <c r="K24" s="28">
        <v>361014</v>
      </c>
      <c r="L24" s="29">
        <v>359590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3">
      <c r="A25" s="6" t="s">
        <v>37</v>
      </c>
      <c r="B25" s="30">
        <v>30209</v>
      </c>
      <c r="C25" s="30">
        <v>43806</v>
      </c>
      <c r="D25" s="30">
        <v>107763</v>
      </c>
      <c r="E25" s="30">
        <v>132184</v>
      </c>
      <c r="F25" s="30">
        <v>114902</v>
      </c>
      <c r="H25" s="32" t="s">
        <v>28</v>
      </c>
      <c r="I25" s="33">
        <v>4765</v>
      </c>
      <c r="J25" s="33">
        <v>16491</v>
      </c>
      <c r="K25" s="33">
        <v>16119</v>
      </c>
      <c r="L25" s="34">
        <v>19697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3">
      <c r="A26" s="6" t="s">
        <v>43</v>
      </c>
      <c r="B26" s="30">
        <f>B24</f>
        <v>982138</v>
      </c>
      <c r="C26" s="30">
        <f>C24</f>
        <v>1170891</v>
      </c>
      <c r="D26" s="30">
        <f>D24</f>
        <v>1056836</v>
      </c>
      <c r="E26" s="30">
        <f>E24</f>
        <v>1107309</v>
      </c>
      <c r="F26" s="30" t="e">
        <f>F24</f>
        <v>#REF!</v>
      </c>
      <c r="H26" s="40" t="s">
        <v>44</v>
      </c>
      <c r="I26" s="36">
        <f>SUM(I20:I25)</f>
        <v>289483</v>
      </c>
      <c r="J26" s="36">
        <f>SUM(J20:J25)</f>
        <v>468626</v>
      </c>
      <c r="K26" s="36">
        <f>SUM(K20:K25)</f>
        <v>461997</v>
      </c>
      <c r="L26" s="36">
        <f>SUM(L20:L25)</f>
        <v>460103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3">
      <c r="A27" s="6" t="s">
        <v>45</v>
      </c>
      <c r="B27" s="30">
        <f t="shared" ref="B27:D27" si="11">I25</f>
        <v>4765</v>
      </c>
      <c r="C27" s="30">
        <f t="shared" si="11"/>
        <v>16491</v>
      </c>
      <c r="D27" s="30">
        <f t="shared" si="11"/>
        <v>16119</v>
      </c>
      <c r="E27" s="30">
        <f>L25</f>
        <v>19697</v>
      </c>
      <c r="F27" s="30" t="e">
        <f>#REF!</f>
        <v>#REF!</v>
      </c>
      <c r="H27" s="40" t="s">
        <v>29</v>
      </c>
      <c r="I27" s="36">
        <f>+I26+I19</f>
        <v>982138</v>
      </c>
      <c r="J27" s="36">
        <f>+J26+J19</f>
        <v>1170891</v>
      </c>
      <c r="K27" s="36">
        <f>+K26+K19</f>
        <v>1056836</v>
      </c>
      <c r="L27" s="37">
        <f>+L26+L19</f>
        <v>1107309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3">
      <c r="A28" s="6" t="s">
        <v>46</v>
      </c>
      <c r="B28" s="20">
        <f>(B25*(1-B23))/(B26-B27)</f>
        <v>2.2254021750140428E-2</v>
      </c>
      <c r="C28" s="20">
        <f>(C25*(1-C23))/(C26-C27)</f>
        <v>2.7321829521829523E-2</v>
      </c>
      <c r="D28" s="20">
        <f>(D25*(1-D23))/(D26-D27)</f>
        <v>7.455375476714611E-2</v>
      </c>
      <c r="E28" s="20">
        <f>(E25*(1-E23))/(E26-E27)</f>
        <v>8.7505912034806524E-2</v>
      </c>
      <c r="F28" s="20" t="e">
        <f>(F25*(1-F23))/(F26-F27)</f>
        <v>#REF!</v>
      </c>
      <c r="H28" s="41" t="s">
        <v>47</v>
      </c>
      <c r="I28" s="42"/>
      <c r="J28" s="42"/>
      <c r="K28" s="42"/>
      <c r="L28" s="4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3">
      <c r="A29" s="44"/>
      <c r="B29" s="6"/>
      <c r="C29" s="6"/>
      <c r="D29" s="6"/>
      <c r="E29" s="6"/>
      <c r="F29" s="6"/>
      <c r="H29" s="45" t="s">
        <v>48</v>
      </c>
      <c r="I29" s="38"/>
      <c r="J29" s="38"/>
      <c r="K29" s="38"/>
      <c r="L29" s="39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3">
      <c r="A30" s="9" t="s">
        <v>49</v>
      </c>
      <c r="B30" s="6"/>
      <c r="C30" s="6"/>
      <c r="D30" s="6"/>
      <c r="E30" s="6"/>
      <c r="F30" s="6"/>
      <c r="H30" s="25" t="s">
        <v>50</v>
      </c>
      <c r="I30" s="28">
        <v>15</v>
      </c>
      <c r="J30" s="38">
        <v>0</v>
      </c>
      <c r="K30" s="38">
        <v>0</v>
      </c>
      <c r="L30" s="39">
        <v>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3">
      <c r="A31" s="46" t="s">
        <v>51</v>
      </c>
      <c r="B31" s="6"/>
      <c r="C31" s="6"/>
      <c r="D31" s="6"/>
      <c r="E31" s="6"/>
      <c r="F31" s="6"/>
      <c r="H31" s="25" t="s">
        <v>52</v>
      </c>
      <c r="I31" s="28">
        <v>211322</v>
      </c>
      <c r="J31" s="28">
        <v>224744</v>
      </c>
      <c r="K31" s="28">
        <v>121064</v>
      </c>
      <c r="L31" s="29">
        <v>162153</v>
      </c>
      <c r="M31" s="2"/>
      <c r="N31" s="47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3">
      <c r="A32" s="6" t="s">
        <v>53</v>
      </c>
      <c r="B32" s="30">
        <f>I19</f>
        <v>692655</v>
      </c>
      <c r="C32" s="30">
        <f>J19</f>
        <v>702265</v>
      </c>
      <c r="D32" s="30">
        <f>K19</f>
        <v>594839</v>
      </c>
      <c r="E32" s="30">
        <f>L19</f>
        <v>647206</v>
      </c>
      <c r="F32" s="30" t="e">
        <f>#REF!</f>
        <v>#REF!</v>
      </c>
      <c r="H32" s="25" t="s">
        <v>54</v>
      </c>
      <c r="I32" s="28">
        <v>192104</v>
      </c>
      <c r="J32" s="28">
        <v>200282</v>
      </c>
      <c r="K32" s="28">
        <v>100474</v>
      </c>
      <c r="L32" s="29">
        <v>107242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3">
      <c r="A33" s="6" t="s">
        <v>55</v>
      </c>
      <c r="B33" s="30">
        <f>I37</f>
        <v>608257</v>
      </c>
      <c r="C33" s="30">
        <f>J37</f>
        <v>620291</v>
      </c>
      <c r="D33" s="30">
        <f>K37</f>
        <v>418476</v>
      </c>
      <c r="E33" s="30">
        <f>L37</f>
        <v>488241</v>
      </c>
      <c r="F33" s="30" t="e">
        <f>#REF!</f>
        <v>#REF!</v>
      </c>
      <c r="H33" s="25" t="s">
        <v>56</v>
      </c>
      <c r="I33" s="28">
        <v>36620</v>
      </c>
      <c r="J33" s="28">
        <v>22023</v>
      </c>
      <c r="K33" s="28">
        <v>27820</v>
      </c>
      <c r="L33" s="29">
        <v>86207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3">
      <c r="A34" s="6" t="s">
        <v>57</v>
      </c>
      <c r="B34" s="48">
        <f>B32/B33</f>
        <v>1.1387538491131215</v>
      </c>
      <c r="C34" s="48">
        <f t="shared" ref="C34:F34" si="12">C32/C33</f>
        <v>1.1321541018650922</v>
      </c>
      <c r="D34" s="48">
        <f t="shared" si="12"/>
        <v>1.4214411340196331</v>
      </c>
      <c r="E34" s="48">
        <f t="shared" si="12"/>
        <v>1.3255871588006742</v>
      </c>
      <c r="F34" s="48" t="e">
        <f t="shared" si="12"/>
        <v>#REF!</v>
      </c>
      <c r="H34" s="25" t="s">
        <v>58</v>
      </c>
      <c r="I34" s="28">
        <v>103418</v>
      </c>
      <c r="J34" s="28">
        <v>56997</v>
      </c>
      <c r="K34" s="28">
        <v>62924</v>
      </c>
      <c r="L34" s="29">
        <v>53630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3">
      <c r="A35" s="46" t="s">
        <v>59</v>
      </c>
      <c r="B35" s="6"/>
      <c r="C35" s="6"/>
      <c r="D35" s="6"/>
      <c r="E35" s="6"/>
      <c r="F35" s="6"/>
      <c r="H35" s="49" t="s">
        <v>60</v>
      </c>
      <c r="I35" s="26">
        <v>33674</v>
      </c>
      <c r="J35" s="50">
        <v>68320</v>
      </c>
      <c r="K35" s="26">
        <v>77784</v>
      </c>
      <c r="L35" s="27">
        <v>46590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7" customHeight="1" x14ac:dyDescent="0.3">
      <c r="A36" s="6" t="s">
        <v>61</v>
      </c>
      <c r="B36" s="30">
        <f>I12</f>
        <v>272560</v>
      </c>
      <c r="C36" s="30">
        <f>J12</f>
        <v>119623</v>
      </c>
      <c r="D36" s="30">
        <f>K12</f>
        <v>157997</v>
      </c>
      <c r="E36" s="30">
        <f>L12</f>
        <v>193042</v>
      </c>
      <c r="F36" s="30" t="e">
        <f>#REF!</f>
        <v>#REF!</v>
      </c>
      <c r="H36" s="51" t="s">
        <v>62</v>
      </c>
      <c r="I36" s="52">
        <v>31104</v>
      </c>
      <c r="J36" s="52">
        <v>47925</v>
      </c>
      <c r="K36" s="52">
        <v>28410</v>
      </c>
      <c r="L36" s="53">
        <v>32419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3">
      <c r="A37" s="6" t="s">
        <v>63</v>
      </c>
      <c r="B37" s="54">
        <f>I18+I15</f>
        <v>72814</v>
      </c>
      <c r="C37" s="54">
        <f>J18+J15</f>
        <v>131591</v>
      </c>
      <c r="D37" s="54">
        <f>K18+K15</f>
        <v>73348</v>
      </c>
      <c r="E37" s="54">
        <f>L18+L15</f>
        <v>86683</v>
      </c>
      <c r="F37" s="54" t="e">
        <f>#REF!+#REF!</f>
        <v>#REF!</v>
      </c>
      <c r="H37" s="55" t="s">
        <v>64</v>
      </c>
      <c r="I37" s="36">
        <f>SUM(I30:I36)</f>
        <v>608257</v>
      </c>
      <c r="J37" s="36">
        <f>SUM(J30:J36)</f>
        <v>620291</v>
      </c>
      <c r="K37" s="36">
        <f>SUM(K30:K36)</f>
        <v>418476</v>
      </c>
      <c r="L37" s="36">
        <f>SUM(L30:L36)</f>
        <v>488241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3">
      <c r="A38" s="6" t="s">
        <v>55</v>
      </c>
      <c r="B38" s="30">
        <f>B33</f>
        <v>608257</v>
      </c>
      <c r="C38" s="30">
        <f t="shared" ref="C38:F38" si="13">C33</f>
        <v>620291</v>
      </c>
      <c r="D38" s="30">
        <f t="shared" si="13"/>
        <v>418476</v>
      </c>
      <c r="E38" s="30">
        <f t="shared" si="13"/>
        <v>488241</v>
      </c>
      <c r="F38" s="30" t="e">
        <f t="shared" si="13"/>
        <v>#REF!</v>
      </c>
      <c r="H38" s="56" t="s">
        <v>65</v>
      </c>
      <c r="I38" s="57">
        <v>139664</v>
      </c>
      <c r="J38" s="58">
        <v>278658</v>
      </c>
      <c r="K38" s="28">
        <v>314322</v>
      </c>
      <c r="L38" s="29">
        <v>290098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3">
      <c r="A39" s="6" t="s">
        <v>66</v>
      </c>
      <c r="B39" s="48">
        <f>(B36+B37)/B38</f>
        <v>0.56780933059545557</v>
      </c>
      <c r="C39" s="48">
        <f>(C36+C37)/C38</f>
        <v>0.40499378517502271</v>
      </c>
      <c r="D39" s="48">
        <f>(D36+D37)/D38</f>
        <v>0.55282740228830329</v>
      </c>
      <c r="E39" s="48">
        <f>(E36+E37)/E38</f>
        <v>0.57292402727341618</v>
      </c>
      <c r="F39" s="48" t="e">
        <f>(F36+F37)/F38</f>
        <v>#REF!</v>
      </c>
      <c r="H39" s="25" t="s">
        <v>67</v>
      </c>
      <c r="I39" s="57">
        <v>11184</v>
      </c>
      <c r="J39" s="59">
        <v>7972</v>
      </c>
      <c r="K39" s="28">
        <v>0</v>
      </c>
      <c r="L39" s="29">
        <v>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3">
      <c r="A40" s="6"/>
      <c r="B40" s="6"/>
      <c r="C40" s="6"/>
      <c r="D40" s="6"/>
      <c r="E40" s="6"/>
      <c r="F40" s="6"/>
      <c r="H40" s="25" t="s">
        <v>68</v>
      </c>
      <c r="I40" s="60">
        <v>2283</v>
      </c>
      <c r="J40" s="59">
        <v>644</v>
      </c>
      <c r="K40" s="28">
        <v>0</v>
      </c>
      <c r="L40" s="39">
        <v>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3">
      <c r="A41" s="9" t="s">
        <v>69</v>
      </c>
      <c r="B41" s="6"/>
      <c r="C41" s="6"/>
      <c r="D41" s="6"/>
      <c r="E41" s="6"/>
      <c r="F41" s="6"/>
      <c r="H41" s="32" t="s">
        <v>70</v>
      </c>
      <c r="I41" s="61">
        <v>4503</v>
      </c>
      <c r="J41" s="58">
        <v>4265</v>
      </c>
      <c r="K41" s="28">
        <v>7410</v>
      </c>
      <c r="L41" s="39">
        <v>4168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3">
      <c r="A42" s="10" t="s">
        <v>71</v>
      </c>
      <c r="B42" s="6"/>
      <c r="C42" s="6"/>
      <c r="D42" s="6"/>
      <c r="E42" s="6"/>
      <c r="F42" s="6"/>
      <c r="H42" s="62" t="s">
        <v>72</v>
      </c>
      <c r="I42" s="63">
        <f>SUM(I38:I41)</f>
        <v>157634</v>
      </c>
      <c r="J42" s="36">
        <f>SUM(J38:J41)</f>
        <v>291539</v>
      </c>
      <c r="K42" s="36">
        <f>SUM(K38:K41)</f>
        <v>321732</v>
      </c>
      <c r="L42" s="37">
        <f>SUM(L38:L41)</f>
        <v>294266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3">
      <c r="A43" s="6" t="s">
        <v>73</v>
      </c>
      <c r="B43" s="30">
        <f>I13+I14+I15</f>
        <v>335192</v>
      </c>
      <c r="C43" s="30">
        <f>J13+J14+J15</f>
        <v>400889</v>
      </c>
      <c r="D43" s="30">
        <f>K13+K14+K15</f>
        <v>317898</v>
      </c>
      <c r="E43" s="30">
        <f>L13+L14+L15</f>
        <v>331743</v>
      </c>
      <c r="F43" s="30" t="e">
        <f>#REF!+#REF!+#REF!</f>
        <v>#REF!</v>
      </c>
      <c r="H43" s="62" t="s">
        <v>32</v>
      </c>
      <c r="I43" s="64">
        <f>+I42+I37</f>
        <v>765891</v>
      </c>
      <c r="J43" s="64">
        <f>+J42+J37</f>
        <v>911830</v>
      </c>
      <c r="K43" s="64">
        <f t="shared" ref="J43:L43" si="14">+K42+K37</f>
        <v>740208</v>
      </c>
      <c r="L43" s="64">
        <f t="shared" si="14"/>
        <v>782507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3">
      <c r="A44" s="6" t="s">
        <v>74</v>
      </c>
      <c r="B44" s="30">
        <f>I59</f>
        <v>1169801</v>
      </c>
      <c r="C44" s="30">
        <f>J59</f>
        <v>1474924</v>
      </c>
      <c r="D44" s="30">
        <f>K59</f>
        <v>1309020</v>
      </c>
      <c r="E44" s="30">
        <f>L59</f>
        <v>938073</v>
      </c>
      <c r="F44" s="30" t="e">
        <f>#REF!</f>
        <v>#REF!</v>
      </c>
      <c r="H44" s="56" t="s">
        <v>75</v>
      </c>
      <c r="I44" s="26">
        <v>80000</v>
      </c>
      <c r="J44" s="26">
        <v>140000</v>
      </c>
      <c r="K44" s="26">
        <v>140000</v>
      </c>
      <c r="L44" s="27">
        <v>140000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3">
      <c r="A45" s="6" t="s">
        <v>71</v>
      </c>
      <c r="B45" s="48">
        <f>B43/B44</f>
        <v>0.28653762477549599</v>
      </c>
      <c r="C45" s="48">
        <f t="shared" ref="C45:F45" si="15">C43/C44</f>
        <v>0.27180315731522436</v>
      </c>
      <c r="D45" s="48">
        <f t="shared" si="15"/>
        <v>0.24285190447815924</v>
      </c>
      <c r="E45" s="48">
        <f t="shared" si="15"/>
        <v>0.35364305336578283</v>
      </c>
      <c r="F45" s="48" t="e">
        <f t="shared" si="15"/>
        <v>#REF!</v>
      </c>
      <c r="H45" s="25" t="s">
        <v>76</v>
      </c>
      <c r="I45" s="38">
        <v>0</v>
      </c>
      <c r="J45" s="38">
        <v>0</v>
      </c>
      <c r="K45" s="38">
        <v>0</v>
      </c>
      <c r="L45" s="39">
        <v>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3">
      <c r="A46" s="10" t="s">
        <v>77</v>
      </c>
      <c r="B46" s="6"/>
      <c r="C46" s="6"/>
      <c r="D46" s="6"/>
      <c r="E46" s="6"/>
      <c r="F46" s="6"/>
      <c r="H46" s="25" t="s">
        <v>78</v>
      </c>
      <c r="I46" s="28">
        <v>1259</v>
      </c>
      <c r="J46" s="28">
        <v>1504</v>
      </c>
      <c r="K46" s="28">
        <v>1602</v>
      </c>
      <c r="L46" s="29">
        <v>1558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3">
      <c r="A47" s="6" t="s">
        <v>21</v>
      </c>
      <c r="B47" s="30">
        <f>I62</f>
        <v>-1017496</v>
      </c>
      <c r="C47" s="30">
        <f>J62</f>
        <v>-1286731</v>
      </c>
      <c r="D47" s="30">
        <f>K62</f>
        <v>-1123848</v>
      </c>
      <c r="E47" s="30">
        <f>L62</f>
        <v>-814012</v>
      </c>
      <c r="F47" s="30" t="e">
        <f>#REF!</f>
        <v>#REF!</v>
      </c>
      <c r="H47" s="25" t="s">
        <v>79</v>
      </c>
      <c r="I47" s="38">
        <v>1566</v>
      </c>
      <c r="J47" s="28">
        <v>355</v>
      </c>
      <c r="K47" s="28">
        <v>6582</v>
      </c>
      <c r="L47" s="39">
        <v>6887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3">
      <c r="A48" s="6" t="s">
        <v>80</v>
      </c>
      <c r="B48" s="30">
        <f>I16</f>
        <v>29237</v>
      </c>
      <c r="C48" s="30">
        <f>J16</f>
        <v>43359</v>
      </c>
      <c r="D48" s="30">
        <f>K16</f>
        <v>48581</v>
      </c>
      <c r="E48" s="30">
        <f>L16</f>
        <v>62086</v>
      </c>
      <c r="F48" s="30" t="e">
        <f>#REF!</f>
        <v>#REF!</v>
      </c>
      <c r="H48" s="25" t="s">
        <v>81</v>
      </c>
      <c r="I48" s="28">
        <v>10236</v>
      </c>
      <c r="J48" s="28">
        <v>18836</v>
      </c>
      <c r="K48" s="28">
        <v>24113</v>
      </c>
      <c r="L48" s="29">
        <v>28000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3">
      <c r="A49" s="6" t="s">
        <v>82</v>
      </c>
      <c r="B49" s="48">
        <f>B47/B48</f>
        <v>-34.8016554366043</v>
      </c>
      <c r="C49" s="48">
        <f t="shared" ref="C49:F49" si="16">C47/C48</f>
        <v>-29.67621485735372</v>
      </c>
      <c r="D49" s="48">
        <f t="shared" si="16"/>
        <v>-23.133488400815132</v>
      </c>
      <c r="E49" s="48">
        <f t="shared" si="16"/>
        <v>-13.111039525819026</v>
      </c>
      <c r="F49" s="48" t="e">
        <f t="shared" si="16"/>
        <v>#REF!</v>
      </c>
      <c r="H49" s="25" t="s">
        <v>83</v>
      </c>
      <c r="I49" s="38">
        <v>0</v>
      </c>
      <c r="J49" s="38">
        <v>5891</v>
      </c>
      <c r="K49" s="38">
        <v>5891</v>
      </c>
      <c r="L49" s="29">
        <v>5891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3">
      <c r="A50" s="10" t="s">
        <v>84</v>
      </c>
      <c r="B50" s="6"/>
      <c r="C50" s="6"/>
      <c r="D50" s="6"/>
      <c r="E50" s="6"/>
      <c r="F50" s="6"/>
      <c r="H50" s="25" t="s">
        <v>12</v>
      </c>
      <c r="I50" s="28">
        <v>80628</v>
      </c>
      <c r="J50" s="28">
        <v>62721</v>
      </c>
      <c r="K50" s="28">
        <v>59159</v>
      </c>
      <c r="L50" s="29">
        <v>9231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3">
      <c r="A51" s="6" t="s">
        <v>85</v>
      </c>
      <c r="B51" s="30">
        <f t="shared" ref="B51:F51" si="17">B48</f>
        <v>29237</v>
      </c>
      <c r="C51" s="30">
        <f t="shared" si="17"/>
        <v>43359</v>
      </c>
      <c r="D51" s="30">
        <f t="shared" si="17"/>
        <v>48581</v>
      </c>
      <c r="E51" s="30">
        <f t="shared" si="17"/>
        <v>62086</v>
      </c>
      <c r="F51" s="30" t="e">
        <f t="shared" si="17"/>
        <v>#REF!</v>
      </c>
      <c r="H51" s="32" t="s">
        <v>86</v>
      </c>
      <c r="I51" s="33">
        <v>42558</v>
      </c>
      <c r="J51" s="33">
        <v>29754</v>
      </c>
      <c r="K51" s="33">
        <v>79281</v>
      </c>
      <c r="L51" s="34">
        <v>133235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3">
      <c r="A52" s="6" t="s">
        <v>87</v>
      </c>
      <c r="B52" s="30">
        <f>I31+I33</f>
        <v>247942</v>
      </c>
      <c r="C52" s="30">
        <f>J31+J33</f>
        <v>246767</v>
      </c>
      <c r="D52" s="30">
        <f>K31+K33</f>
        <v>148884</v>
      </c>
      <c r="E52" s="30">
        <f>L31+L33</f>
        <v>248360</v>
      </c>
      <c r="F52" s="30" t="e">
        <f>#REF!+#REF!</f>
        <v>#REF!</v>
      </c>
      <c r="H52" s="62" t="s">
        <v>33</v>
      </c>
      <c r="I52" s="36">
        <f>SUM(I44:I51)</f>
        <v>216247</v>
      </c>
      <c r="J52" s="36">
        <f>SUM(J44:J51)</f>
        <v>259061</v>
      </c>
      <c r="K52" s="36">
        <f>SUM(K44:K51)</f>
        <v>316628</v>
      </c>
      <c r="L52" s="37">
        <f>SUM(L44:L51)</f>
        <v>324802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8" thickBot="1" x14ac:dyDescent="0.35">
      <c r="A53" s="6" t="s">
        <v>88</v>
      </c>
      <c r="B53" s="48">
        <f>B51/B52</f>
        <v>0.11791870679433093</v>
      </c>
      <c r="C53" s="48">
        <f t="shared" ref="C53:F53" si="18">C51/C52</f>
        <v>0.17570825920807887</v>
      </c>
      <c r="D53" s="48">
        <f t="shared" si="18"/>
        <v>0.32630101286907931</v>
      </c>
      <c r="E53" s="48">
        <f t="shared" si="18"/>
        <v>0.24998389434691576</v>
      </c>
      <c r="F53" s="48" t="e">
        <f t="shared" si="18"/>
        <v>#REF!</v>
      </c>
      <c r="H53" s="65" t="s">
        <v>36</v>
      </c>
      <c r="I53" s="66">
        <f>+I52+I43</f>
        <v>982138</v>
      </c>
      <c r="J53" s="66">
        <f>+J52+J43</f>
        <v>1170891</v>
      </c>
      <c r="K53" s="66">
        <f>+K52+K43</f>
        <v>1056836</v>
      </c>
      <c r="L53" s="67">
        <f>+L52+L43</f>
        <v>1107309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3">
      <c r="A54" s="10" t="s">
        <v>89</v>
      </c>
      <c r="B54" s="6"/>
      <c r="C54" s="6"/>
      <c r="D54" s="6"/>
      <c r="E54" s="6"/>
      <c r="F54" s="6"/>
      <c r="H54" s="68"/>
      <c r="I54" s="69"/>
      <c r="J54" s="69"/>
      <c r="K54" s="69"/>
      <c r="L54" s="70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3">
      <c r="A55" s="6" t="s">
        <v>71</v>
      </c>
      <c r="B55" s="71">
        <f t="shared" ref="B55:F55" si="19">B45</f>
        <v>0.28653762477549599</v>
      </c>
      <c r="C55" s="71">
        <f t="shared" si="19"/>
        <v>0.27180315731522436</v>
      </c>
      <c r="D55" s="71">
        <f t="shared" si="19"/>
        <v>0.24285190447815924</v>
      </c>
      <c r="E55" s="71">
        <f t="shared" si="19"/>
        <v>0.35364305336578283</v>
      </c>
      <c r="F55" s="71" t="e">
        <f t="shared" si="19"/>
        <v>#REF!</v>
      </c>
      <c r="H55" s="72" t="s">
        <v>6</v>
      </c>
      <c r="I55" s="69"/>
      <c r="J55" s="69"/>
      <c r="K55" s="69"/>
      <c r="L55" s="70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3">
      <c r="A56" s="6" t="s">
        <v>89</v>
      </c>
      <c r="B56" s="73">
        <f>B55/365</f>
        <v>7.8503458842601645E-4</v>
      </c>
      <c r="C56" s="73">
        <f t="shared" ref="C56:F56" si="20">C55/365</f>
        <v>7.446661844252722E-4</v>
      </c>
      <c r="D56" s="73">
        <f t="shared" si="20"/>
        <v>6.653476835018061E-4</v>
      </c>
      <c r="E56" s="73">
        <f t="shared" si="20"/>
        <v>9.6888507771447348E-4</v>
      </c>
      <c r="F56" s="73" t="e">
        <f t="shared" si="20"/>
        <v>#REF!</v>
      </c>
      <c r="H56" s="74" t="s">
        <v>90</v>
      </c>
      <c r="I56" s="69"/>
      <c r="J56" s="69"/>
      <c r="K56" s="69"/>
      <c r="L56" s="70"/>
      <c r="M56" s="2"/>
      <c r="N56" s="12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8" thickBot="1" x14ac:dyDescent="0.35">
      <c r="A57" s="10" t="s">
        <v>89</v>
      </c>
      <c r="B57" s="6"/>
      <c r="C57" s="6"/>
      <c r="D57" s="6"/>
      <c r="E57" s="6"/>
      <c r="F57" s="6"/>
      <c r="H57" s="75" t="s">
        <v>9</v>
      </c>
      <c r="I57" s="69"/>
      <c r="J57" s="69"/>
      <c r="K57" s="69"/>
      <c r="L57" s="76"/>
      <c r="M57" s="2"/>
      <c r="N57" s="2"/>
      <c r="O57" s="124"/>
      <c r="P57" s="125" t="s">
        <v>3</v>
      </c>
      <c r="Q57" s="125" t="s">
        <v>4</v>
      </c>
      <c r="R57" s="125" t="s">
        <v>5</v>
      </c>
      <c r="S57" s="125" t="s">
        <v>11</v>
      </c>
      <c r="T57" s="123"/>
      <c r="U57" s="2"/>
      <c r="V57" s="2"/>
      <c r="W57" s="2"/>
      <c r="X57" s="2"/>
      <c r="Y57" s="2"/>
      <c r="Z57" s="2"/>
      <c r="AA57" s="2"/>
    </row>
    <row r="58" spans="1:27" x14ac:dyDescent="0.3">
      <c r="A58" s="6" t="s">
        <v>84</v>
      </c>
      <c r="B58" s="71">
        <f t="shared" ref="B58:F58" si="21">B53</f>
        <v>0.11791870679433093</v>
      </c>
      <c r="C58" s="71">
        <f t="shared" si="21"/>
        <v>0.17570825920807887</v>
      </c>
      <c r="D58" s="71">
        <f t="shared" si="21"/>
        <v>0.32630101286907931</v>
      </c>
      <c r="E58" s="71">
        <f t="shared" si="21"/>
        <v>0.24998389434691576</v>
      </c>
      <c r="F58" s="71" t="e">
        <f t="shared" si="21"/>
        <v>#REF!</v>
      </c>
      <c r="H58" s="77"/>
      <c r="I58" s="78">
        <v>2013</v>
      </c>
      <c r="J58" s="78">
        <v>2014</v>
      </c>
      <c r="K58" s="78">
        <v>2015</v>
      </c>
      <c r="L58" s="79">
        <v>2016</v>
      </c>
      <c r="M58" s="2"/>
      <c r="N58" s="2"/>
      <c r="O58" s="126" t="s">
        <v>91</v>
      </c>
      <c r="P58" s="122">
        <f>I59</f>
        <v>1169801</v>
      </c>
      <c r="Q58" s="122">
        <f t="shared" ref="Q58:S58" si="22">J59</f>
        <v>1474924</v>
      </c>
      <c r="R58" s="122">
        <f t="shared" si="22"/>
        <v>1309020</v>
      </c>
      <c r="S58" s="122">
        <f t="shared" si="22"/>
        <v>938073</v>
      </c>
      <c r="T58" s="2"/>
      <c r="U58" s="2"/>
      <c r="V58" s="2"/>
      <c r="W58" s="2"/>
      <c r="X58" s="2"/>
      <c r="Y58" s="2"/>
      <c r="Z58" s="2"/>
      <c r="AA58" s="2"/>
    </row>
    <row r="59" spans="1:27" x14ac:dyDescent="0.3">
      <c r="A59" s="6"/>
      <c r="B59" s="48">
        <f>365/B58</f>
        <v>3095.3528063754829</v>
      </c>
      <c r="C59" s="48">
        <f t="shared" ref="C59:F59" si="23">365/C58</f>
        <v>2077.3070181507878</v>
      </c>
      <c r="D59" s="48">
        <f t="shared" si="23"/>
        <v>1118.5990407772586</v>
      </c>
      <c r="E59" s="48">
        <f t="shared" si="23"/>
        <v>1460.094063073801</v>
      </c>
      <c r="F59" s="48" t="e">
        <f t="shared" si="23"/>
        <v>#REF!</v>
      </c>
      <c r="H59" s="80" t="s">
        <v>91</v>
      </c>
      <c r="I59" s="81">
        <f>SUM(I60:I61)</f>
        <v>1169801</v>
      </c>
      <c r="J59" s="81">
        <f>SUM(J60:J61)</f>
        <v>1474924</v>
      </c>
      <c r="K59" s="81">
        <f>SUM(K60:K61)</f>
        <v>1309020</v>
      </c>
      <c r="L59" s="82">
        <f>SUM(L60:L61)</f>
        <v>938073</v>
      </c>
      <c r="M59" s="2"/>
      <c r="N59" s="2"/>
      <c r="O59" s="126" t="s">
        <v>148</v>
      </c>
      <c r="P59" s="122">
        <f>I62+I66+I67+I68</f>
        <v>-1062038</v>
      </c>
      <c r="Q59" s="122">
        <f t="shared" ref="Q59:S59" si="24">J62+J66+J67+J68</f>
        <v>-1342741</v>
      </c>
      <c r="R59" s="122">
        <f t="shared" si="24"/>
        <v>-1194118</v>
      </c>
      <c r="S59" s="122">
        <f t="shared" si="24"/>
        <v>-884349</v>
      </c>
      <c r="T59" s="2"/>
      <c r="U59" s="2"/>
      <c r="V59" s="2"/>
      <c r="W59" s="2"/>
      <c r="X59" s="2"/>
      <c r="Y59" s="2"/>
      <c r="Z59" s="2"/>
      <c r="AA59" s="2"/>
    </row>
    <row r="60" spans="1:27" x14ac:dyDescent="0.3">
      <c r="A60" s="10" t="s">
        <v>92</v>
      </c>
      <c r="B60" s="6"/>
      <c r="C60" s="6"/>
      <c r="D60" s="6"/>
      <c r="E60" s="6"/>
      <c r="F60" s="6"/>
      <c r="H60" s="83" t="s">
        <v>93</v>
      </c>
      <c r="I60" s="58">
        <v>1140134</v>
      </c>
      <c r="J60" s="28">
        <v>1251100</v>
      </c>
      <c r="K60" s="28">
        <v>1168306</v>
      </c>
      <c r="L60" s="29">
        <v>877903</v>
      </c>
      <c r="M60" s="2"/>
      <c r="N60" s="2"/>
      <c r="O60" s="126" t="s">
        <v>149</v>
      </c>
      <c r="P60" s="122">
        <f>P58+P59</f>
        <v>107763</v>
      </c>
      <c r="Q60" s="122">
        <f>Q58+Q59</f>
        <v>132183</v>
      </c>
      <c r="R60" s="122">
        <f>R58+R59</f>
        <v>114902</v>
      </c>
      <c r="S60" s="122">
        <f t="shared" ref="S60" si="25">S58+S59</f>
        <v>53724</v>
      </c>
      <c r="T60" s="2"/>
      <c r="U60" s="2"/>
      <c r="V60" s="2"/>
      <c r="W60" s="2"/>
      <c r="X60" s="2"/>
      <c r="Y60" s="2"/>
      <c r="Z60" s="2"/>
      <c r="AA60" s="2"/>
    </row>
    <row r="61" spans="1:27" x14ac:dyDescent="0.3">
      <c r="A61" s="6" t="s">
        <v>94</v>
      </c>
      <c r="B61" s="30">
        <f>I44</f>
        <v>80000</v>
      </c>
      <c r="C61" s="30">
        <f>J44</f>
        <v>140000</v>
      </c>
      <c r="D61" s="30">
        <f>K44</f>
        <v>140000</v>
      </c>
      <c r="E61" s="30">
        <f>L44</f>
        <v>140000</v>
      </c>
      <c r="F61" s="30" t="e">
        <f>#REF!</f>
        <v>#REF!</v>
      </c>
      <c r="H61" s="32" t="s">
        <v>95</v>
      </c>
      <c r="I61" s="28">
        <v>29667</v>
      </c>
      <c r="J61" s="28">
        <v>223824</v>
      </c>
      <c r="K61" s="28">
        <v>140714</v>
      </c>
      <c r="L61" s="29">
        <v>60170</v>
      </c>
      <c r="M61" s="2"/>
      <c r="N61" s="2"/>
      <c r="O61" s="126" t="s">
        <v>150</v>
      </c>
      <c r="P61" s="122">
        <f>I70+I71+I72+I73+I74+I75+I77</f>
        <v>5075</v>
      </c>
      <c r="Q61" s="122">
        <f>J70+J71+J72+J73+J74+J75+J77</f>
        <v>-40723</v>
      </c>
      <c r="R61" s="122">
        <f>K70+K71+K72+K73+K74+K75+K77</f>
        <v>-26618</v>
      </c>
      <c r="S61" s="122">
        <f>L70+L71+L72+L73+L74+L75+L77</f>
        <v>-33664</v>
      </c>
      <c r="T61" s="2"/>
      <c r="U61" s="2"/>
      <c r="V61" s="2"/>
      <c r="W61" s="2"/>
      <c r="X61" s="2"/>
      <c r="Y61" s="2"/>
      <c r="Z61" s="2"/>
      <c r="AA61" s="2"/>
    </row>
    <row r="62" spans="1:27" x14ac:dyDescent="0.3">
      <c r="A62" s="6" t="s">
        <v>13</v>
      </c>
      <c r="B62" s="30">
        <f t="shared" ref="B62:F62" si="26">B44</f>
        <v>1169801</v>
      </c>
      <c r="C62" s="30">
        <f t="shared" si="26"/>
        <v>1474924</v>
      </c>
      <c r="D62" s="30">
        <f t="shared" si="26"/>
        <v>1309020</v>
      </c>
      <c r="E62" s="30">
        <f t="shared" si="26"/>
        <v>938073</v>
      </c>
      <c r="F62" s="30" t="e">
        <f t="shared" si="26"/>
        <v>#REF!</v>
      </c>
      <c r="H62" s="84" t="s">
        <v>21</v>
      </c>
      <c r="I62" s="85">
        <f>SUM(I63:I64)</f>
        <v>-1017496</v>
      </c>
      <c r="J62" s="85">
        <f>SUM(J63:J64)</f>
        <v>-1286731</v>
      </c>
      <c r="K62" s="85">
        <f>SUM(K63:K64)</f>
        <v>-1123848</v>
      </c>
      <c r="L62" s="86">
        <f>SUM(L63:L64)</f>
        <v>-814012</v>
      </c>
      <c r="M62" s="2"/>
      <c r="N62" s="2"/>
      <c r="O62" s="126" t="s">
        <v>151</v>
      </c>
      <c r="P62" s="122">
        <f>P60+P61</f>
        <v>112838</v>
      </c>
      <c r="Q62" s="122">
        <f>Q60+Q61</f>
        <v>91460</v>
      </c>
      <c r="R62" s="122">
        <f t="shared" ref="R62:S62" si="27">R60+R61</f>
        <v>88284</v>
      </c>
      <c r="S62" s="122">
        <f t="shared" si="27"/>
        <v>20060</v>
      </c>
      <c r="T62" s="2"/>
      <c r="U62" s="2"/>
      <c r="V62" s="2"/>
      <c r="W62" s="2"/>
      <c r="X62" s="2"/>
      <c r="Y62" s="2"/>
      <c r="Z62" s="2"/>
      <c r="AA62" s="2"/>
    </row>
    <row r="63" spans="1:27" x14ac:dyDescent="0.3">
      <c r="A63" s="6"/>
      <c r="B63" s="48">
        <f>B61/B62</f>
        <v>6.8387700130193088E-2</v>
      </c>
      <c r="C63" s="48">
        <f>C61/C62</f>
        <v>9.4920145037981615E-2</v>
      </c>
      <c r="D63" s="48">
        <f>D61/D62</f>
        <v>0.10695023758231349</v>
      </c>
      <c r="E63" s="48">
        <f>E61/E62</f>
        <v>0.14924211655169695</v>
      </c>
      <c r="F63" s="48" t="e">
        <f>F61/F62</f>
        <v>#REF!</v>
      </c>
      <c r="H63" s="56" t="s">
        <v>96</v>
      </c>
      <c r="I63" s="28">
        <v>-993201</v>
      </c>
      <c r="J63" s="28">
        <v>-1116029</v>
      </c>
      <c r="K63" s="28">
        <v>-1013198</v>
      </c>
      <c r="L63" s="29">
        <v>-767854</v>
      </c>
      <c r="M63" s="2"/>
      <c r="N63" s="2"/>
      <c r="O63" s="126" t="str">
        <f>H79</f>
        <v>Impuesto a la Renta</v>
      </c>
      <c r="P63" s="122">
        <f>I79</f>
        <v>-32210</v>
      </c>
      <c r="Q63" s="122">
        <f t="shared" ref="Q63:S63" si="28">J79</f>
        <v>-28741</v>
      </c>
      <c r="R63" s="122">
        <f t="shared" si="28"/>
        <v>-29125</v>
      </c>
      <c r="S63" s="122">
        <f t="shared" si="28"/>
        <v>-10829</v>
      </c>
      <c r="T63" s="2"/>
      <c r="U63" s="2"/>
      <c r="V63" s="2"/>
      <c r="W63" s="2"/>
      <c r="X63" s="2"/>
      <c r="Y63" s="2"/>
      <c r="Z63" s="2"/>
      <c r="AA63" s="2"/>
    </row>
    <row r="64" spans="1:27" x14ac:dyDescent="0.3">
      <c r="A64" s="10" t="s">
        <v>97</v>
      </c>
      <c r="B64" s="6"/>
      <c r="C64" s="6"/>
      <c r="D64" s="6"/>
      <c r="E64" s="6"/>
      <c r="F64" s="6"/>
      <c r="H64" s="32" t="s">
        <v>98</v>
      </c>
      <c r="I64" s="28">
        <v>-24295</v>
      </c>
      <c r="J64" s="38">
        <v>-170702</v>
      </c>
      <c r="K64" s="28">
        <v>-110650</v>
      </c>
      <c r="L64" s="29">
        <v>-46158</v>
      </c>
      <c r="M64" s="2"/>
      <c r="N64" s="2"/>
      <c r="O64" s="126" t="str">
        <f>H80</f>
        <v>Utilidad Neta</v>
      </c>
      <c r="P64" s="122">
        <f>P62+P63</f>
        <v>80628</v>
      </c>
      <c r="Q64" s="122">
        <f t="shared" ref="Q64:S64" si="29">Q62+Q63</f>
        <v>62719</v>
      </c>
      <c r="R64" s="122">
        <f t="shared" si="29"/>
        <v>59159</v>
      </c>
      <c r="S64" s="122">
        <f t="shared" si="29"/>
        <v>9231</v>
      </c>
      <c r="T64" s="2"/>
      <c r="U64" s="2"/>
      <c r="V64" s="2"/>
      <c r="W64" s="2"/>
      <c r="X64" s="2"/>
      <c r="Y64" s="2"/>
      <c r="Z64" s="2"/>
      <c r="AA64" s="2"/>
    </row>
    <row r="65" spans="1:27" x14ac:dyDescent="0.3">
      <c r="A65" s="6" t="s">
        <v>99</v>
      </c>
      <c r="B65" s="30">
        <f>I27</f>
        <v>982138</v>
      </c>
      <c r="C65" s="30">
        <f>J27</f>
        <v>1170891</v>
      </c>
      <c r="D65" s="30">
        <f>K27</f>
        <v>1056836</v>
      </c>
      <c r="E65" s="30">
        <f>L27</f>
        <v>1107309</v>
      </c>
      <c r="F65" s="30" t="e">
        <f>#REF!</f>
        <v>#REF!</v>
      </c>
      <c r="H65" s="62" t="s">
        <v>100</v>
      </c>
      <c r="I65" s="87">
        <f>+I62+I59</f>
        <v>152305</v>
      </c>
      <c r="J65" s="87">
        <f>+J62+J59</f>
        <v>188193</v>
      </c>
      <c r="K65" s="87">
        <f>+K62+K59</f>
        <v>185172</v>
      </c>
      <c r="L65" s="37">
        <f>+L62+L59</f>
        <v>124061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3">
      <c r="A66" s="6" t="s">
        <v>13</v>
      </c>
      <c r="B66" s="30">
        <f>I59</f>
        <v>1169801</v>
      </c>
      <c r="C66" s="30">
        <f>J59</f>
        <v>1474924</v>
      </c>
      <c r="D66" s="30">
        <f>K59</f>
        <v>1309020</v>
      </c>
      <c r="E66" s="30">
        <f>L59</f>
        <v>938073</v>
      </c>
      <c r="F66" s="30" t="e">
        <f>#REF!</f>
        <v>#REF!</v>
      </c>
      <c r="H66" s="56" t="s">
        <v>101</v>
      </c>
      <c r="I66" s="28">
        <v>-47097</v>
      </c>
      <c r="J66" s="28">
        <v>-56797</v>
      </c>
      <c r="K66" s="28">
        <v>-65579</v>
      </c>
      <c r="L66" s="29">
        <v>-62293</v>
      </c>
      <c r="M66" s="2"/>
      <c r="N66" s="2"/>
      <c r="O66" s="118"/>
      <c r="P66" s="113" t="s">
        <v>3</v>
      </c>
      <c r="Q66" s="113" t="s">
        <v>4</v>
      </c>
      <c r="R66" s="113" t="s">
        <v>5</v>
      </c>
      <c r="S66" s="113" t="s">
        <v>11</v>
      </c>
      <c r="T66" s="2"/>
      <c r="U66" s="2"/>
      <c r="V66" s="2"/>
      <c r="W66" s="2"/>
      <c r="X66" s="2"/>
      <c r="Y66" s="2"/>
      <c r="Z66" s="2"/>
      <c r="AA66" s="2"/>
    </row>
    <row r="67" spans="1:27" x14ac:dyDescent="0.3">
      <c r="A67" s="6"/>
      <c r="B67" s="48">
        <f>B65/B66</f>
        <v>0.83957698788084467</v>
      </c>
      <c r="C67" s="48">
        <f t="shared" ref="C67:F67" si="30">C65/C66</f>
        <v>0.79386531102619529</v>
      </c>
      <c r="D67" s="48">
        <f t="shared" si="30"/>
        <v>0.80734900918244179</v>
      </c>
      <c r="E67" s="48">
        <f t="shared" si="30"/>
        <v>1.1804081345481641</v>
      </c>
      <c r="F67" s="48" t="e">
        <f t="shared" si="30"/>
        <v>#REF!</v>
      </c>
      <c r="H67" s="25" t="s">
        <v>102</v>
      </c>
      <c r="I67" s="28">
        <v>0</v>
      </c>
      <c r="J67" s="38">
        <v>0</v>
      </c>
      <c r="K67" s="38">
        <v>0</v>
      </c>
      <c r="L67" s="39">
        <v>0</v>
      </c>
      <c r="M67" s="2"/>
      <c r="N67" s="2"/>
      <c r="O67" s="119" t="s">
        <v>29</v>
      </c>
      <c r="P67" s="114">
        <f>P17</f>
        <v>982138</v>
      </c>
      <c r="Q67" s="114">
        <f t="shared" ref="Q67:S67" si="31">Q17</f>
        <v>1170891</v>
      </c>
      <c r="R67" s="114">
        <f t="shared" si="31"/>
        <v>1056836</v>
      </c>
      <c r="S67" s="115">
        <f t="shared" si="31"/>
        <v>1107309</v>
      </c>
      <c r="T67" s="2"/>
      <c r="U67" s="2"/>
      <c r="V67" s="2"/>
      <c r="W67" s="2"/>
      <c r="X67" s="2"/>
      <c r="Y67" s="2"/>
      <c r="Z67" s="2"/>
      <c r="AA67" s="2"/>
    </row>
    <row r="68" spans="1:27" x14ac:dyDescent="0.3">
      <c r="A68" s="9" t="s">
        <v>103</v>
      </c>
      <c r="B68" s="6"/>
      <c r="C68" s="6"/>
      <c r="D68" s="6"/>
      <c r="E68" s="6"/>
      <c r="F68" s="6"/>
      <c r="H68" s="32" t="s">
        <v>104</v>
      </c>
      <c r="I68" s="28">
        <v>2555</v>
      </c>
      <c r="J68" s="38">
        <v>787</v>
      </c>
      <c r="K68" s="28">
        <v>-4691</v>
      </c>
      <c r="L68" s="29">
        <v>-8044</v>
      </c>
      <c r="M68" s="2"/>
      <c r="N68" s="2"/>
      <c r="O68" s="120" t="s">
        <v>32</v>
      </c>
      <c r="P68" s="114">
        <f>P18</f>
        <v>765891</v>
      </c>
      <c r="Q68" s="114">
        <f t="shared" ref="Q68:S68" si="32">Q18</f>
        <v>911830</v>
      </c>
      <c r="R68" s="114">
        <f t="shared" si="32"/>
        <v>740208</v>
      </c>
      <c r="S68" s="115">
        <f t="shared" si="32"/>
        <v>782507</v>
      </c>
      <c r="T68" s="2"/>
      <c r="U68" s="2"/>
      <c r="V68" s="2"/>
      <c r="W68" s="2"/>
      <c r="X68" s="2"/>
      <c r="Y68" s="2"/>
      <c r="Z68" s="2"/>
      <c r="AA68" s="2"/>
    </row>
    <row r="69" spans="1:27" x14ac:dyDescent="0.3">
      <c r="A69" s="46" t="s">
        <v>105</v>
      </c>
      <c r="B69" s="6"/>
      <c r="C69" s="6"/>
      <c r="D69" s="6"/>
      <c r="E69" s="6"/>
      <c r="F69" s="6"/>
      <c r="H69" s="62" t="s">
        <v>106</v>
      </c>
      <c r="I69" s="87">
        <f>SUM(I65:I68)</f>
        <v>107763</v>
      </c>
      <c r="J69" s="87">
        <f>SUM(J65:J68)</f>
        <v>132183</v>
      </c>
      <c r="K69" s="87">
        <f>SUM(K65:K68)</f>
        <v>114902</v>
      </c>
      <c r="L69" s="37">
        <f>SUM(L65:L68)</f>
        <v>53724</v>
      </c>
      <c r="M69" s="2"/>
      <c r="N69" s="47"/>
      <c r="O69" s="120" t="s">
        <v>33</v>
      </c>
      <c r="P69" s="114">
        <f t="shared" ref="P69:S69" si="33">P19</f>
        <v>216247</v>
      </c>
      <c r="Q69" s="114">
        <f t="shared" si="33"/>
        <v>259061</v>
      </c>
      <c r="R69" s="114">
        <f t="shared" si="33"/>
        <v>316628</v>
      </c>
      <c r="S69" s="115">
        <f t="shared" si="33"/>
        <v>324802</v>
      </c>
      <c r="T69" s="2"/>
      <c r="U69" s="2"/>
      <c r="V69" s="2"/>
      <c r="W69" s="2"/>
      <c r="X69" s="2"/>
      <c r="Y69" s="2"/>
      <c r="Z69" s="2"/>
      <c r="AA69" s="2"/>
    </row>
    <row r="70" spans="1:27" x14ac:dyDescent="0.3">
      <c r="A70" s="6" t="s">
        <v>107</v>
      </c>
      <c r="B70" s="30">
        <f>I43</f>
        <v>765891</v>
      </c>
      <c r="C70" s="30">
        <f>J43</f>
        <v>911830</v>
      </c>
      <c r="D70" s="30">
        <f>K43</f>
        <v>740208</v>
      </c>
      <c r="E70" s="30">
        <f>L43</f>
        <v>782507</v>
      </c>
      <c r="F70" s="30" t="e">
        <f>#REF!</f>
        <v>#REF!</v>
      </c>
      <c r="H70" s="56" t="s">
        <v>108</v>
      </c>
      <c r="I70" s="28">
        <v>2449</v>
      </c>
      <c r="J70" s="28">
        <v>6445</v>
      </c>
      <c r="K70" s="28">
        <v>2810</v>
      </c>
      <c r="L70" s="29">
        <v>3338</v>
      </c>
      <c r="M70" s="2"/>
      <c r="N70" s="2"/>
      <c r="O70" s="120" t="s">
        <v>36</v>
      </c>
      <c r="P70" s="117">
        <f t="shared" ref="P70:S70" si="34">P20</f>
        <v>982138</v>
      </c>
      <c r="Q70" s="117">
        <f t="shared" si="34"/>
        <v>1170891</v>
      </c>
      <c r="R70" s="117">
        <f t="shared" si="34"/>
        <v>1056836</v>
      </c>
      <c r="S70" s="116">
        <f t="shared" si="34"/>
        <v>1107309</v>
      </c>
      <c r="T70" s="2"/>
      <c r="U70" s="2"/>
      <c r="V70" s="2"/>
      <c r="W70" s="2"/>
      <c r="X70" s="2"/>
      <c r="Y70" s="2"/>
      <c r="Z70" s="2"/>
      <c r="AA70" s="2"/>
    </row>
    <row r="71" spans="1:27" x14ac:dyDescent="0.3">
      <c r="A71" s="6" t="s">
        <v>109</v>
      </c>
      <c r="B71" s="30">
        <f>I27</f>
        <v>982138</v>
      </c>
      <c r="C71" s="30">
        <f>J27</f>
        <v>1170891</v>
      </c>
      <c r="D71" s="30">
        <f>K27</f>
        <v>1056836</v>
      </c>
      <c r="E71" s="30">
        <f>L27</f>
        <v>1107309</v>
      </c>
      <c r="F71" s="30" t="e">
        <f>#REF!</f>
        <v>#REF!</v>
      </c>
      <c r="H71" s="25" t="s">
        <v>110</v>
      </c>
      <c r="I71" s="28">
        <v>-16515</v>
      </c>
      <c r="J71" s="28">
        <v>-30686</v>
      </c>
      <c r="K71" s="28">
        <v>-31285</v>
      </c>
      <c r="L71" s="29">
        <v>-30819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3">
      <c r="A72" s="6"/>
      <c r="B72" s="20">
        <f>B70/B71</f>
        <v>0.77982014747418382</v>
      </c>
      <c r="C72" s="20">
        <f t="shared" ref="C72:F72" si="35">C70/C71</f>
        <v>0.7787488331535557</v>
      </c>
      <c r="D72" s="20">
        <f t="shared" si="35"/>
        <v>0.70040006207207173</v>
      </c>
      <c r="E72" s="20">
        <f t="shared" si="35"/>
        <v>0.70667446936672595</v>
      </c>
      <c r="F72" s="20" t="e">
        <f t="shared" si="35"/>
        <v>#REF!</v>
      </c>
      <c r="H72" s="25" t="s">
        <v>111</v>
      </c>
      <c r="I72" s="38">
        <v>0</v>
      </c>
      <c r="J72" s="38">
        <v>0</v>
      </c>
      <c r="K72" s="38">
        <v>0</v>
      </c>
      <c r="L72" s="39">
        <v>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31.5" x14ac:dyDescent="0.3">
      <c r="A73" s="88" t="s">
        <v>112</v>
      </c>
      <c r="B73" s="6"/>
      <c r="C73" s="6"/>
      <c r="D73" s="6"/>
      <c r="E73" s="6"/>
      <c r="F73" s="6"/>
      <c r="H73" s="32" t="s">
        <v>113</v>
      </c>
      <c r="I73" s="38">
        <v>0</v>
      </c>
      <c r="J73" s="38">
        <v>0</v>
      </c>
      <c r="K73" s="38">
        <v>0</v>
      </c>
      <c r="L73" s="39">
        <v>0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3">
      <c r="A74" s="6" t="s">
        <v>114</v>
      </c>
      <c r="B74" s="30">
        <f t="shared" ref="B74:F74" si="36">B70</f>
        <v>765891</v>
      </c>
      <c r="C74" s="30">
        <f t="shared" si="36"/>
        <v>911830</v>
      </c>
      <c r="D74" s="30">
        <f t="shared" si="36"/>
        <v>740208</v>
      </c>
      <c r="E74" s="30">
        <f t="shared" si="36"/>
        <v>782507</v>
      </c>
      <c r="F74" s="30" t="e">
        <f t="shared" si="36"/>
        <v>#REF!</v>
      </c>
      <c r="H74" s="89" t="s">
        <v>115</v>
      </c>
      <c r="I74" s="90">
        <v>1886</v>
      </c>
      <c r="J74" s="90">
        <v>-10899</v>
      </c>
      <c r="K74" s="91">
        <v>-1800</v>
      </c>
      <c r="L74" s="91">
        <v>-1115</v>
      </c>
      <c r="M74" s="2"/>
      <c r="N74" s="2"/>
      <c r="O74" s="134"/>
      <c r="P74" s="133" t="s">
        <v>3</v>
      </c>
      <c r="Q74" s="113" t="s">
        <v>4</v>
      </c>
      <c r="R74" s="113" t="s">
        <v>5</v>
      </c>
      <c r="S74" s="113" t="s">
        <v>11</v>
      </c>
      <c r="T74" s="2"/>
      <c r="U74" s="2"/>
      <c r="V74" s="2"/>
      <c r="W74" s="2"/>
      <c r="X74" s="2"/>
      <c r="Y74" s="2"/>
      <c r="Z74" s="2"/>
      <c r="AA74" s="2"/>
    </row>
    <row r="75" spans="1:27" x14ac:dyDescent="0.3">
      <c r="A75" s="46" t="s">
        <v>116</v>
      </c>
      <c r="B75" s="6"/>
      <c r="C75" s="6"/>
      <c r="D75" s="6"/>
      <c r="E75" s="6"/>
      <c r="F75" s="6"/>
      <c r="H75" s="32" t="s">
        <v>117</v>
      </c>
      <c r="I75" s="92">
        <v>28667</v>
      </c>
      <c r="J75" s="28">
        <v>0</v>
      </c>
      <c r="K75" s="28">
        <v>0</v>
      </c>
      <c r="L75" s="39">
        <v>0</v>
      </c>
      <c r="M75" s="2"/>
      <c r="N75" s="2"/>
      <c r="O75" s="135" t="s">
        <v>152</v>
      </c>
      <c r="P75" s="122">
        <f>P60</f>
        <v>107763</v>
      </c>
      <c r="Q75" s="122">
        <f t="shared" ref="Q75:S75" si="37">Q60</f>
        <v>132183</v>
      </c>
      <c r="R75" s="122">
        <f t="shared" si="37"/>
        <v>114902</v>
      </c>
      <c r="S75" s="122">
        <f t="shared" si="37"/>
        <v>53724</v>
      </c>
      <c r="T75" s="2"/>
      <c r="U75" s="2"/>
      <c r="V75" s="2"/>
      <c r="W75" s="2"/>
      <c r="X75" s="2"/>
      <c r="Y75" s="2"/>
      <c r="Z75" s="2"/>
      <c r="AA75" s="2"/>
    </row>
    <row r="76" spans="1:27" x14ac:dyDescent="0.3">
      <c r="A76" s="6" t="s">
        <v>118</v>
      </c>
      <c r="B76" s="30">
        <f>I37</f>
        <v>608257</v>
      </c>
      <c r="C76" s="30">
        <f>J37</f>
        <v>620291</v>
      </c>
      <c r="D76" s="30">
        <f>K37</f>
        <v>418476</v>
      </c>
      <c r="E76" s="30">
        <f>L37</f>
        <v>488241</v>
      </c>
      <c r="F76" s="30" t="e">
        <f>#REF!</f>
        <v>#REF!</v>
      </c>
      <c r="H76" s="93" t="s">
        <v>119</v>
      </c>
      <c r="I76" s="87">
        <f>SUM(I69:I75)</f>
        <v>124250</v>
      </c>
      <c r="J76" s="87">
        <f>SUM(J69:J75)</f>
        <v>97043</v>
      </c>
      <c r="K76" s="87">
        <f>SUM(K69:K75)</f>
        <v>84627</v>
      </c>
      <c r="L76" s="37">
        <f>SUM(L69:L75)</f>
        <v>25128</v>
      </c>
      <c r="M76" s="2"/>
      <c r="N76" s="2"/>
      <c r="O76" s="135" t="s">
        <v>153</v>
      </c>
      <c r="P76" s="122">
        <f>P67</f>
        <v>982138</v>
      </c>
      <c r="Q76" s="122">
        <f t="shared" ref="Q76:S76" si="38">Q67</f>
        <v>1170891</v>
      </c>
      <c r="R76" s="122">
        <f t="shared" si="38"/>
        <v>1056836</v>
      </c>
      <c r="S76" s="122">
        <f t="shared" si="38"/>
        <v>1107309</v>
      </c>
      <c r="T76" s="2"/>
      <c r="U76" s="2"/>
      <c r="V76" s="2"/>
      <c r="W76" s="2"/>
      <c r="X76" s="2"/>
      <c r="Y76" s="2"/>
      <c r="Z76" s="2"/>
      <c r="AA76" s="2"/>
    </row>
    <row r="77" spans="1:27" x14ac:dyDescent="0.3">
      <c r="A77" s="6" t="s">
        <v>114</v>
      </c>
      <c r="B77" s="30">
        <f>I43</f>
        <v>765891</v>
      </c>
      <c r="C77" s="30">
        <f>J43</f>
        <v>911830</v>
      </c>
      <c r="D77" s="30">
        <f>K43</f>
        <v>740208</v>
      </c>
      <c r="E77" s="30">
        <f>L43</f>
        <v>782507</v>
      </c>
      <c r="F77" s="30" t="e">
        <f>#REF!</f>
        <v>#REF!</v>
      </c>
      <c r="H77" s="94" t="s">
        <v>120</v>
      </c>
      <c r="I77" s="95">
        <v>-11412</v>
      </c>
      <c r="J77" s="95">
        <v>-5583</v>
      </c>
      <c r="K77" s="95">
        <v>3657</v>
      </c>
      <c r="L77" s="96">
        <v>-5068</v>
      </c>
      <c r="M77" s="2"/>
      <c r="N77" s="2"/>
      <c r="O77" s="136" t="s">
        <v>154</v>
      </c>
      <c r="P77" s="137">
        <f>P75/P76</f>
        <v>0.10972286990219297</v>
      </c>
      <c r="Q77" s="137">
        <f t="shared" ref="Q77:S77" si="39">Q75/Q76</f>
        <v>0.11289095227480611</v>
      </c>
      <c r="R77" s="137">
        <f t="shared" si="39"/>
        <v>0.10872264003118744</v>
      </c>
      <c r="S77" s="137">
        <f t="shared" si="39"/>
        <v>4.851762245226942E-2</v>
      </c>
      <c r="T77" s="2"/>
      <c r="U77" s="2"/>
      <c r="V77" s="2"/>
      <c r="W77" s="2"/>
      <c r="X77" s="2"/>
      <c r="Y77" s="2"/>
      <c r="Z77" s="2"/>
      <c r="AA77" s="2"/>
    </row>
    <row r="78" spans="1:27" x14ac:dyDescent="0.3">
      <c r="A78" s="6"/>
      <c r="B78" s="20">
        <f>B76/B77</f>
        <v>0.79418220086148028</v>
      </c>
      <c r="C78" s="20">
        <f t="shared" ref="C78:F78" si="40">C76/C77</f>
        <v>0.68027044514876678</v>
      </c>
      <c r="D78" s="20">
        <f t="shared" si="40"/>
        <v>0.56534919914402437</v>
      </c>
      <c r="E78" s="20">
        <f t="shared" si="40"/>
        <v>0.62394457813156945</v>
      </c>
      <c r="F78" s="20" t="e">
        <f t="shared" si="40"/>
        <v>#REF!</v>
      </c>
      <c r="H78" s="62" t="s">
        <v>121</v>
      </c>
      <c r="I78" s="97">
        <f>SUM(I76:I77)</f>
        <v>112838</v>
      </c>
      <c r="J78" s="97">
        <f t="shared" ref="J78:L78" si="41">SUM(J76:J77)</f>
        <v>91460</v>
      </c>
      <c r="K78" s="97">
        <f t="shared" si="41"/>
        <v>88284</v>
      </c>
      <c r="L78" s="98">
        <f t="shared" si="41"/>
        <v>20060</v>
      </c>
      <c r="M78" s="2"/>
      <c r="N78" s="2"/>
      <c r="O78" s="135" t="s">
        <v>152</v>
      </c>
      <c r="P78" s="122">
        <f>P75</f>
        <v>107763</v>
      </c>
      <c r="Q78" s="122">
        <f t="shared" ref="Q78:S78" si="42">Q75</f>
        <v>132183</v>
      </c>
      <c r="R78" s="122">
        <f t="shared" si="42"/>
        <v>114902</v>
      </c>
      <c r="S78" s="122">
        <f t="shared" si="42"/>
        <v>53724</v>
      </c>
      <c r="T78" s="2"/>
      <c r="U78" s="2"/>
      <c r="V78" s="2"/>
      <c r="W78" s="2"/>
      <c r="X78" s="2"/>
      <c r="Y78" s="2"/>
      <c r="Z78" s="2"/>
      <c r="AA78" s="2"/>
    </row>
    <row r="79" spans="1:27" x14ac:dyDescent="0.3">
      <c r="A79" s="9" t="s">
        <v>122</v>
      </c>
      <c r="B79" s="6"/>
      <c r="C79" s="6"/>
      <c r="D79" s="6"/>
      <c r="E79" s="6"/>
      <c r="F79" s="6"/>
      <c r="H79" s="94" t="s">
        <v>123</v>
      </c>
      <c r="I79" s="99">
        <v>-32210</v>
      </c>
      <c r="J79" s="99">
        <v>-28741</v>
      </c>
      <c r="K79" s="99">
        <v>-29125</v>
      </c>
      <c r="L79" s="100">
        <v>-10829</v>
      </c>
      <c r="M79" s="2"/>
      <c r="N79" s="2"/>
      <c r="O79" s="135" t="s">
        <v>30</v>
      </c>
      <c r="P79" s="122">
        <f>P69</f>
        <v>216247</v>
      </c>
      <c r="Q79" s="122">
        <f t="shared" ref="Q79:S79" si="43">Q69</f>
        <v>259061</v>
      </c>
      <c r="R79" s="122">
        <f t="shared" si="43"/>
        <v>316628</v>
      </c>
      <c r="S79" s="122">
        <f t="shared" si="43"/>
        <v>324802</v>
      </c>
      <c r="T79" s="2"/>
      <c r="U79" s="2"/>
      <c r="V79" s="2"/>
      <c r="W79" s="2"/>
      <c r="X79" s="2"/>
      <c r="Y79" s="2"/>
      <c r="Z79" s="2"/>
      <c r="AA79" s="2"/>
    </row>
    <row r="80" spans="1:27" ht="18" thickBot="1" x14ac:dyDescent="0.35">
      <c r="A80" s="10" t="s">
        <v>124</v>
      </c>
      <c r="B80" s="6"/>
      <c r="C80" s="6"/>
      <c r="D80" s="6"/>
      <c r="E80" s="6"/>
      <c r="F80" s="6"/>
      <c r="H80" s="65" t="s">
        <v>125</v>
      </c>
      <c r="I80" s="101">
        <f>SUM(I78:I79)</f>
        <v>80628</v>
      </c>
      <c r="J80" s="101">
        <f t="shared" ref="J80:L80" si="44">SUM(J78:J79)</f>
        <v>62719</v>
      </c>
      <c r="K80" s="101">
        <f t="shared" si="44"/>
        <v>59159</v>
      </c>
      <c r="L80" s="102">
        <f t="shared" si="44"/>
        <v>9231</v>
      </c>
      <c r="M80" s="2"/>
      <c r="N80" s="2"/>
      <c r="O80" s="136" t="s">
        <v>155</v>
      </c>
      <c r="P80" s="138">
        <f>P78/P79</f>
        <v>0.4983329248498245</v>
      </c>
      <c r="Q80" s="138">
        <f t="shared" ref="Q80:S80" si="45">Q78/Q79</f>
        <v>0.51023890126263693</v>
      </c>
      <c r="R80" s="138">
        <f t="shared" si="45"/>
        <v>0.36289273216519069</v>
      </c>
      <c r="S80" s="138">
        <f t="shared" si="45"/>
        <v>0.16540538543481875</v>
      </c>
      <c r="T80" s="2"/>
      <c r="U80" s="2"/>
      <c r="V80" s="2"/>
      <c r="W80" s="2"/>
      <c r="X80" s="2"/>
      <c r="Y80" s="2"/>
      <c r="Z80" s="2"/>
      <c r="AA80" s="2"/>
    </row>
    <row r="81" spans="1:27" x14ac:dyDescent="0.3">
      <c r="A81" s="6" t="s">
        <v>126</v>
      </c>
      <c r="B81" s="30">
        <f>+'BALANCE Y GANANCIAS Y PERDIDAS'!I79</f>
        <v>-32210</v>
      </c>
      <c r="C81" s="30">
        <f>J107</f>
        <v>0</v>
      </c>
      <c r="D81" s="30">
        <f>K107</f>
        <v>0</v>
      </c>
      <c r="E81" s="30">
        <f>L107</f>
        <v>0</v>
      </c>
      <c r="F81" s="30" t="e">
        <f>#REF!</f>
        <v>#REF!</v>
      </c>
      <c r="G81" s="2"/>
      <c r="H81" s="2"/>
      <c r="I81" s="2"/>
      <c r="J81" s="2"/>
      <c r="K81" s="2"/>
      <c r="L81" s="2"/>
      <c r="M81" s="2"/>
      <c r="N81" s="2"/>
      <c r="O81" s="135" t="s">
        <v>156</v>
      </c>
      <c r="P81" s="122">
        <f>P68</f>
        <v>765891</v>
      </c>
      <c r="Q81" s="122">
        <f t="shared" ref="Q81:S81" si="46">Q68</f>
        <v>911830</v>
      </c>
      <c r="R81" s="122">
        <f t="shared" si="46"/>
        <v>740208</v>
      </c>
      <c r="S81" s="122">
        <f t="shared" si="46"/>
        <v>782507</v>
      </c>
      <c r="T81" s="2"/>
      <c r="U81" s="2"/>
      <c r="V81" s="2"/>
      <c r="W81" s="2"/>
      <c r="X81" s="2"/>
      <c r="Y81" s="2"/>
      <c r="Z81" s="2"/>
      <c r="AA81" s="2"/>
    </row>
    <row r="82" spans="1:27" x14ac:dyDescent="0.3">
      <c r="A82" s="6" t="s">
        <v>110</v>
      </c>
      <c r="B82" s="30">
        <f>I98</f>
        <v>0</v>
      </c>
      <c r="C82" s="30">
        <f>J98</f>
        <v>0</v>
      </c>
      <c r="D82" s="30">
        <f>K98</f>
        <v>0</v>
      </c>
      <c r="E82" s="30">
        <f>L98</f>
        <v>0</v>
      </c>
      <c r="F82" s="30" t="e">
        <f>#REF!</f>
        <v>#REF!</v>
      </c>
      <c r="G82" s="2"/>
      <c r="H82" s="103"/>
      <c r="I82" s="104"/>
      <c r="J82" s="105"/>
      <c r="K82" s="104"/>
      <c r="L82" s="105"/>
      <c r="M82" s="2"/>
      <c r="N82" s="2"/>
      <c r="O82" s="135" t="s">
        <v>157</v>
      </c>
      <c r="P82" s="122">
        <f>P79</f>
        <v>216247</v>
      </c>
      <c r="Q82" s="122">
        <f t="shared" ref="Q82:S82" si="47">Q79</f>
        <v>259061</v>
      </c>
      <c r="R82" s="122">
        <f t="shared" si="47"/>
        <v>316628</v>
      </c>
      <c r="S82" s="122">
        <f t="shared" si="47"/>
        <v>324802</v>
      </c>
      <c r="T82" s="2"/>
      <c r="U82" s="2"/>
      <c r="V82" s="2"/>
      <c r="W82" s="2"/>
      <c r="X82" s="2"/>
      <c r="Y82" s="2"/>
      <c r="Z82" s="2"/>
      <c r="AA82" s="2"/>
    </row>
    <row r="83" spans="1:27" x14ac:dyDescent="0.3">
      <c r="A83" s="6"/>
      <c r="B83" s="48" t="e">
        <f>-(B81-B82)/B82</f>
        <v>#DIV/0!</v>
      </c>
      <c r="C83" s="48" t="e">
        <f>-(C81-C82)/C82</f>
        <v>#DIV/0!</v>
      </c>
      <c r="D83" s="48" t="e">
        <f>-(D81-D82)/D82</f>
        <v>#DIV/0!</v>
      </c>
      <c r="E83" s="48" t="e">
        <f>-(E81-E82)/E82</f>
        <v>#DIV/0!</v>
      </c>
      <c r="F83" s="48" t="e">
        <f>-(F81-F82)/F82</f>
        <v>#REF!</v>
      </c>
      <c r="G83" s="2"/>
      <c r="H83" s="7"/>
      <c r="I83" s="104"/>
      <c r="J83" s="105"/>
      <c r="K83" s="104"/>
      <c r="L83" s="105"/>
      <c r="M83" s="2"/>
      <c r="N83" s="2"/>
      <c r="O83" s="136" t="s">
        <v>158</v>
      </c>
      <c r="P83" s="139">
        <f>P81/P82</f>
        <v>3.5417416195369182</v>
      </c>
      <c r="Q83" s="139">
        <f t="shared" ref="Q83:S83" si="48">Q81/Q82</f>
        <v>3.5197501746692863</v>
      </c>
      <c r="R83" s="139">
        <f t="shared" si="48"/>
        <v>2.337784403148174</v>
      </c>
      <c r="S83" s="139">
        <f t="shared" si="48"/>
        <v>2.4091815937093983</v>
      </c>
      <c r="T83" s="2"/>
      <c r="U83" s="2"/>
      <c r="V83" s="2"/>
      <c r="W83" s="2"/>
      <c r="X83" s="2"/>
      <c r="Y83" s="2"/>
      <c r="Z83" s="2"/>
      <c r="AA83" s="2"/>
    </row>
    <row r="84" spans="1:27" x14ac:dyDescent="0.3">
      <c r="A84" s="6"/>
      <c r="B84" s="6"/>
      <c r="C84" s="6"/>
      <c r="D84" s="6"/>
      <c r="E84" s="6"/>
      <c r="F84" s="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33.75" x14ac:dyDescent="0.3">
      <c r="A85" s="106" t="s">
        <v>127</v>
      </c>
      <c r="B85" s="6"/>
      <c r="C85" s="6"/>
      <c r="D85" s="6"/>
      <c r="E85" s="6"/>
      <c r="F85" s="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3">
      <c r="A86" s="6" t="s">
        <v>128</v>
      </c>
      <c r="B86" s="6">
        <v>1.82</v>
      </c>
      <c r="C86" s="6">
        <v>1.82</v>
      </c>
      <c r="D86" s="6">
        <v>1.82</v>
      </c>
      <c r="E86" s="6">
        <v>1.82</v>
      </c>
      <c r="F86" s="6">
        <v>1.82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3">
      <c r="A87" s="6" t="s">
        <v>129</v>
      </c>
      <c r="B87" s="6">
        <v>1.07</v>
      </c>
      <c r="C87" s="6">
        <v>1.07</v>
      </c>
      <c r="D87" s="6">
        <v>1.07</v>
      </c>
      <c r="E87" s="6">
        <v>1.07</v>
      </c>
      <c r="F87" s="6">
        <v>1.07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3">
      <c r="A88" s="6" t="s">
        <v>130</v>
      </c>
      <c r="B88" s="71">
        <f>(B87*(1+(1-0.28)*(B93/B94)))</f>
        <v>1.1795539991325048</v>
      </c>
      <c r="C88" s="71">
        <f>(C87*(1+(1-0.28)*(C93/C94)))</f>
        <v>1.2533459503916249</v>
      </c>
      <c r="D88" s="71">
        <f>(D87*(1+(1-0.28)*(D93/D94)))</f>
        <v>1.2991307911539729</v>
      </c>
      <c r="E88" s="71">
        <f>(E87*(1+(1-0.28)*(E93/E94)))</f>
        <v>1.271833001628272</v>
      </c>
      <c r="F88" s="71" t="e">
        <f>(F87*(1+(1-0.28)*(F93/F94)))</f>
        <v>#REF!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3">
      <c r="A89" s="6" t="s">
        <v>131</v>
      </c>
      <c r="B89" s="6">
        <v>8.1</v>
      </c>
      <c r="C89" s="6">
        <v>8.1</v>
      </c>
      <c r="D89" s="6">
        <v>8.1</v>
      </c>
      <c r="E89" s="6">
        <v>8.1</v>
      </c>
      <c r="F89" s="6">
        <v>8.1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3">
      <c r="A90" s="6" t="s">
        <v>132</v>
      </c>
      <c r="B90" s="20">
        <f t="shared" ref="B90:E90" si="49">(B86+(B88*B89))/100</f>
        <v>0.11374387392973288</v>
      </c>
      <c r="C90" s="20">
        <f t="shared" si="49"/>
        <v>0.1197210219817216</v>
      </c>
      <c r="D90" s="20">
        <f t="shared" si="49"/>
        <v>0.1234295940834718</v>
      </c>
      <c r="E90" s="20">
        <f t="shared" si="49"/>
        <v>0.12121847313189002</v>
      </c>
      <c r="F90" s="20" t="e">
        <f>(F86+(F88*F89))/100</f>
        <v>#REF!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3">
      <c r="A91" s="6"/>
      <c r="B91" s="6"/>
      <c r="C91" s="6"/>
      <c r="D91" s="6"/>
      <c r="E91" s="6"/>
      <c r="F91" s="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3">
      <c r="A92" s="107" t="s">
        <v>133</v>
      </c>
      <c r="B92" s="6"/>
      <c r="C92" s="6"/>
      <c r="D92" s="6"/>
      <c r="E92" s="6"/>
      <c r="F92" s="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3">
      <c r="A93" s="6" t="s">
        <v>134</v>
      </c>
      <c r="B93" s="30">
        <f>I38</f>
        <v>139664</v>
      </c>
      <c r="C93" s="30">
        <f>J38</f>
        <v>278658</v>
      </c>
      <c r="D93" s="30">
        <f>K38</f>
        <v>314322</v>
      </c>
      <c r="E93" s="30">
        <f>L38</f>
        <v>290098</v>
      </c>
      <c r="F93" s="30" t="e">
        <f>#REF!</f>
        <v>#REF!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3">
      <c r="A94" s="6" t="s">
        <v>135</v>
      </c>
      <c r="B94" s="30">
        <f>I27</f>
        <v>982138</v>
      </c>
      <c r="C94" s="30">
        <f>J27</f>
        <v>1170891</v>
      </c>
      <c r="D94" s="30">
        <f>K27</f>
        <v>1056836</v>
      </c>
      <c r="E94" s="30">
        <f>L27</f>
        <v>1107309</v>
      </c>
      <c r="F94" s="30" t="e">
        <f>#REF!</f>
        <v>#REF!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3">
      <c r="A95" s="6" t="s">
        <v>136</v>
      </c>
      <c r="B95" s="71">
        <f t="shared" ref="B95:F95" si="50">B90</f>
        <v>0.11374387392973288</v>
      </c>
      <c r="C95" s="71">
        <f t="shared" si="50"/>
        <v>0.1197210219817216</v>
      </c>
      <c r="D95" s="71">
        <f t="shared" si="50"/>
        <v>0.1234295940834718</v>
      </c>
      <c r="E95" s="71">
        <f t="shared" si="50"/>
        <v>0.12121847313189002</v>
      </c>
      <c r="F95" s="71" t="e">
        <f t="shared" si="50"/>
        <v>#REF!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3">
      <c r="A96" s="6" t="s">
        <v>137</v>
      </c>
      <c r="B96" s="6">
        <v>9.4700000000000006E-2</v>
      </c>
      <c r="C96" s="6">
        <v>9.4700000000000006E-2</v>
      </c>
      <c r="D96" s="6">
        <v>9.4700000000000006E-2</v>
      </c>
      <c r="E96" s="6">
        <v>9.4700000000000006E-2</v>
      </c>
      <c r="F96" s="6">
        <v>9.4700000000000006E-2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3">
      <c r="A97" s="108" t="s">
        <v>48</v>
      </c>
      <c r="B97" s="30">
        <f>I37</f>
        <v>608257</v>
      </c>
      <c r="C97" s="30">
        <f>J37</f>
        <v>620291</v>
      </c>
      <c r="D97" s="30">
        <f>K37</f>
        <v>418476</v>
      </c>
      <c r="E97" s="30">
        <f>L37</f>
        <v>488241</v>
      </c>
      <c r="F97" s="30" t="e">
        <f>#REF!</f>
        <v>#REF!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3">
      <c r="A98" s="108" t="s">
        <v>138</v>
      </c>
      <c r="B98" s="30">
        <f>I42</f>
        <v>157634</v>
      </c>
      <c r="C98" s="30">
        <f>J42</f>
        <v>291539</v>
      </c>
      <c r="D98" s="30">
        <f>K42</f>
        <v>321732</v>
      </c>
      <c r="E98" s="30">
        <f>L42</f>
        <v>294266</v>
      </c>
      <c r="F98" s="30" t="e">
        <f>#REF!</f>
        <v>#REF!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3">
      <c r="A99" s="108" t="s">
        <v>139</v>
      </c>
      <c r="B99" s="109">
        <f>B97/I43</f>
        <v>0.79418220086148028</v>
      </c>
      <c r="C99" s="109">
        <f>C97/J43</f>
        <v>0.68027044514876678</v>
      </c>
      <c r="D99" s="109">
        <f>D97/K43</f>
        <v>0.56534919914402437</v>
      </c>
      <c r="E99" s="109">
        <f>E97/L43</f>
        <v>0.62394457813156945</v>
      </c>
      <c r="F99" s="109" t="e">
        <f>F97/#REF!</f>
        <v>#REF!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3">
      <c r="A100" s="108" t="s">
        <v>140</v>
      </c>
      <c r="B100" s="71">
        <f>B98/I43</f>
        <v>0.20581779913851972</v>
      </c>
      <c r="C100" s="71">
        <f>C98/J43</f>
        <v>0.31972955485123322</v>
      </c>
      <c r="D100" s="71">
        <f>D98/K43</f>
        <v>0.43465080085597563</v>
      </c>
      <c r="E100" s="71">
        <f>E98/L43</f>
        <v>0.37605542186843055</v>
      </c>
      <c r="F100" s="71" t="e">
        <f>F98/#REF!</f>
        <v>#REF!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3">
      <c r="A101" s="110" t="s">
        <v>141</v>
      </c>
      <c r="B101" s="111">
        <f t="shared" ref="B101:E101" si="51">(B99*0)+(B100*B96)</f>
        <v>1.949094557841782E-2</v>
      </c>
      <c r="C101" s="111">
        <f t="shared" si="51"/>
        <v>3.0278388844411787E-2</v>
      </c>
      <c r="D101" s="111">
        <f t="shared" si="51"/>
        <v>4.1161430841060893E-2</v>
      </c>
      <c r="E101" s="111">
        <f t="shared" si="51"/>
        <v>3.5612448450940373E-2</v>
      </c>
      <c r="F101" s="111" t="e">
        <f>(F99*0)+(F100*F96)</f>
        <v>#REF!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3">
      <c r="A102" s="6" t="s">
        <v>142</v>
      </c>
      <c r="B102" s="71">
        <f>I43/(I43+I52)</f>
        <v>0.77982014747418382</v>
      </c>
      <c r="C102" s="71">
        <f>J43/(J43+J52)</f>
        <v>0.7787488331535557</v>
      </c>
      <c r="D102" s="71">
        <f>K43/(K43+K52)</f>
        <v>0.70040006207207173</v>
      </c>
      <c r="E102" s="71">
        <f>L43/(L43+L52)</f>
        <v>0.70667446936672595</v>
      </c>
      <c r="F102" s="71" t="e">
        <f>#REF!/(#REF!+#REF!)</f>
        <v>#REF!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3">
      <c r="A103" s="6" t="s">
        <v>143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3">
      <c r="A104" s="6" t="s">
        <v>144</v>
      </c>
      <c r="B104" s="71">
        <f>I52/I53</f>
        <v>0.22017985252581612</v>
      </c>
      <c r="C104" s="71">
        <f>J52/J53</f>
        <v>0.2212511668464443</v>
      </c>
      <c r="D104" s="71">
        <f>K52/K53</f>
        <v>0.29959993792792827</v>
      </c>
      <c r="E104" s="71">
        <f>L52/L53</f>
        <v>0.29332553063327399</v>
      </c>
      <c r="F104" s="71" t="e">
        <f>#REF!/#REF!</f>
        <v>#REF!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3">
      <c r="A105" s="6" t="s">
        <v>145</v>
      </c>
      <c r="B105" s="6">
        <v>0.28000000000000003</v>
      </c>
      <c r="C105" s="6">
        <v>0.28000000000000003</v>
      </c>
      <c r="D105" s="6">
        <v>0.28000000000000003</v>
      </c>
      <c r="E105" s="6">
        <v>0.28000000000000003</v>
      </c>
      <c r="F105" s="6">
        <v>0.28000000000000003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3">
      <c r="A106" s="5" t="s">
        <v>133</v>
      </c>
      <c r="B106" s="20">
        <f>(B101*B102*(1-B105))+(B95*B103)+(B95*B104)</f>
        <v>3.5987700467432222E-2</v>
      </c>
      <c r="C106" s="20">
        <f t="shared" ref="C106:E106" si="52">(C101*C102*(1-C105))+(C95*C103)+(C95*C104)</f>
        <v>4.3465482996800538E-2</v>
      </c>
      <c r="D106" s="20">
        <f t="shared" si="52"/>
        <v>5.7736716201436659E-2</v>
      </c>
      <c r="E106" s="20">
        <f t="shared" si="52"/>
        <v>5.3676286794547987E-2</v>
      </c>
      <c r="F106" s="20" t="e">
        <f>((F101*F102*(1-F105))+(F95*F103)+(F95*F104))</f>
        <v>#REF!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3">
      <c r="A107" s="6"/>
      <c r="B107" s="6"/>
      <c r="C107" s="6"/>
      <c r="D107" s="6"/>
      <c r="E107" s="6"/>
      <c r="F107" s="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3">
      <c r="A108" s="112" t="s">
        <v>146</v>
      </c>
      <c r="B108" s="6"/>
      <c r="C108" s="6"/>
      <c r="D108" s="6"/>
      <c r="E108" s="6"/>
      <c r="F108" s="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3">
      <c r="A109" s="6" t="s">
        <v>147</v>
      </c>
      <c r="B109" s="30">
        <f>I96+I108</f>
        <v>0</v>
      </c>
      <c r="C109" s="30">
        <f>J96+J108</f>
        <v>0</v>
      </c>
      <c r="D109" s="30">
        <f>K96+K108</f>
        <v>0</v>
      </c>
      <c r="E109" s="30">
        <f>L96+L108</f>
        <v>0</v>
      </c>
      <c r="F109" s="30" t="e">
        <f>#REF!+#REF!</f>
        <v>#REF!</v>
      </c>
      <c r="G109" s="2"/>
      <c r="H109" s="2"/>
      <c r="I109" s="2"/>
      <c r="J109" s="2"/>
      <c r="K109" s="2"/>
      <c r="L109" s="2"/>
      <c r="M109" s="2"/>
      <c r="N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3">
      <c r="O110" s="2"/>
      <c r="P110" s="2"/>
      <c r="Q110" s="2"/>
      <c r="R110" s="2"/>
      <c r="S110" s="2"/>
    </row>
    <row r="111" spans="1:27" x14ac:dyDescent="0.3">
      <c r="O111" s="2"/>
      <c r="P111" s="2"/>
      <c r="Q111" s="2"/>
      <c r="R111" s="2"/>
      <c r="S111" s="2"/>
    </row>
    <row r="112" spans="1:27" x14ac:dyDescent="0.3">
      <c r="O112" s="2"/>
      <c r="P112" s="2"/>
      <c r="Q112" s="2"/>
      <c r="R112" s="2"/>
      <c r="S112" s="2"/>
    </row>
    <row r="113" spans="8:19" x14ac:dyDescent="0.3">
      <c r="H113" s="127"/>
      <c r="I113" s="128"/>
      <c r="J113" s="128"/>
      <c r="K113" s="128"/>
      <c r="L113" s="128"/>
      <c r="O113" s="2"/>
      <c r="P113" s="2"/>
      <c r="Q113" s="2"/>
      <c r="R113" s="2"/>
      <c r="S113" s="2"/>
    </row>
    <row r="114" spans="8:19" x14ac:dyDescent="0.3">
      <c r="H114" s="129"/>
      <c r="I114" s="130"/>
      <c r="J114" s="130"/>
      <c r="K114" s="130"/>
      <c r="L114" s="130"/>
      <c r="O114" s="2"/>
      <c r="P114" s="2"/>
      <c r="Q114" s="2"/>
      <c r="R114" s="2"/>
      <c r="S114" s="2"/>
    </row>
    <row r="115" spans="8:19" x14ac:dyDescent="0.3">
      <c r="H115" s="131"/>
      <c r="I115" s="130"/>
      <c r="J115" s="130"/>
      <c r="K115" s="130"/>
      <c r="L115" s="130"/>
    </row>
    <row r="116" spans="8:19" x14ac:dyDescent="0.3">
      <c r="H116" s="131"/>
      <c r="I116" s="130"/>
      <c r="J116" s="130"/>
      <c r="K116" s="130"/>
      <c r="L116" s="130"/>
    </row>
    <row r="117" spans="8:19" x14ac:dyDescent="0.3">
      <c r="H117" s="131"/>
      <c r="I117" s="130"/>
      <c r="J117" s="130"/>
      <c r="K117" s="130"/>
      <c r="L117" s="130"/>
    </row>
    <row r="118" spans="8:19" x14ac:dyDescent="0.3">
      <c r="H118" s="132"/>
      <c r="I118" s="132"/>
      <c r="J118" s="132"/>
      <c r="K118" s="132"/>
      <c r="L118" s="132"/>
    </row>
    <row r="119" spans="8:19" x14ac:dyDescent="0.3">
      <c r="H119" s="132"/>
      <c r="I119" s="132"/>
      <c r="J119" s="132"/>
      <c r="K119" s="132"/>
      <c r="L119" s="132"/>
    </row>
    <row r="120" spans="8:19" x14ac:dyDescent="0.3">
      <c r="H120" s="132"/>
      <c r="I120" s="128"/>
      <c r="J120" s="128"/>
      <c r="K120" s="128"/>
      <c r="L120" s="128"/>
    </row>
    <row r="121" spans="8:19" x14ac:dyDescent="0.3">
      <c r="H121" s="131"/>
      <c r="I121" s="130"/>
      <c r="J121" s="130"/>
      <c r="K121" s="130"/>
      <c r="L121" s="130"/>
    </row>
    <row r="122" spans="8:19" x14ac:dyDescent="0.3">
      <c r="H122" s="131"/>
      <c r="I122" s="130"/>
      <c r="J122" s="130"/>
      <c r="K122" s="130"/>
      <c r="L122" s="130"/>
    </row>
    <row r="123" spans="8:19" x14ac:dyDescent="0.3">
      <c r="H123" s="131"/>
      <c r="I123" s="130"/>
      <c r="J123" s="130"/>
      <c r="K123" s="130"/>
      <c r="L123" s="130"/>
    </row>
    <row r="124" spans="8:19" x14ac:dyDescent="0.3">
      <c r="H124" s="131"/>
      <c r="I124" s="130"/>
      <c r="J124" s="130"/>
      <c r="K124" s="130"/>
      <c r="L124" s="130"/>
    </row>
    <row r="125" spans="8:19" x14ac:dyDescent="0.3">
      <c r="H125" s="131"/>
      <c r="I125" s="130"/>
      <c r="J125" s="130"/>
      <c r="K125" s="130"/>
      <c r="L125" s="130"/>
    </row>
    <row r="126" spans="8:19" x14ac:dyDescent="0.3">
      <c r="H126" s="131"/>
      <c r="I126" s="130"/>
      <c r="J126" s="130"/>
      <c r="K126" s="130"/>
      <c r="L126" s="130"/>
    </row>
    <row r="127" spans="8:19" x14ac:dyDescent="0.3">
      <c r="H127" s="131"/>
      <c r="I127" s="130"/>
      <c r="J127" s="130"/>
      <c r="K127" s="130"/>
      <c r="L127" s="130"/>
    </row>
  </sheetData>
  <mergeCells count="5">
    <mergeCell ref="G5:M5"/>
    <mergeCell ref="I8:I9"/>
    <mergeCell ref="J8:J9"/>
    <mergeCell ref="K8:K9"/>
    <mergeCell ref="L8:L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Y GANANCIAS Y PERDIDAS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2017-09-18T18:40:00Z</dcterms:created>
  <dcterms:modified xsi:type="dcterms:W3CDTF">2018-07-13T19:01:43Z</dcterms:modified>
</cp:coreProperties>
</file>