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Concytec Libro\FINAL CD'S\"/>
    </mc:Choice>
  </mc:AlternateContent>
  <bookViews>
    <workbookView xWindow="0" yWindow="0" windowWidth="20490" windowHeight="7755"/>
  </bookViews>
  <sheets>
    <sheet name="BALANCE Y GANANCIAS Y PERDIDAS" sheetId="1" r:id="rId1"/>
    <sheet name="Hoja1" sheetId="2" r:id="rId2"/>
  </sheets>
  <externalReferences>
    <externalReference r:id="rId3"/>
  </externalReferences>
  <definedNames>
    <definedName name="_xlnm.Print_Area">'[1]Sup. Especifico'!$A$7:$L$80</definedName>
    <definedName name="Area1">[1]Depreciación!$A$1:$N$95</definedName>
    <definedName name="RiskAutoStopPercChange">1.5</definedName>
    <definedName name="RiskCollectDistributionSamples">2</definedName>
    <definedName name="RiskExcelReportsGoInNewWorkbook">TRUE</definedName>
    <definedName name="RiskExcelReportsToGenerate">0</definedName>
    <definedName name="RiskFixedSeed">1</definedName>
    <definedName name="RiskGenerateExcelReportsAtEndOfSimulation">FALSE</definedName>
    <definedName name="RiskHasSettings">TRUE</definedName>
    <definedName name="RiskMinimizeOnStart">FALSE</definedName>
    <definedName name="RiskMonitorConvergence">FALSE</definedName>
    <definedName name="RiskNumIterations">5000</definedName>
    <definedName name="RiskNumSimulations">1</definedName>
    <definedName name="RiskPauseOnError">FALSE</definedName>
    <definedName name="RiskRealTimeResults">FALSE</definedName>
    <definedName name="RiskReportGraphFormat">0</definedName>
    <definedName name="RiskResultsUpdateFreq">100</definedName>
    <definedName name="RiskRunAfterRecalcMacro">FALSE</definedName>
    <definedName name="RiskRunAfterSimMacro">FALSE</definedName>
    <definedName name="RiskRunBeforeRecalcMacro">FALSE</definedName>
    <definedName name="RiskRunBeforeSimMacro">FALSE</definedName>
    <definedName name="RiskSamplingType">3</definedName>
    <definedName name="RiskShowRiskWindowAtEndOfSimulation">TRUE</definedName>
    <definedName name="RiskStandardRecalc">2</definedName>
    <definedName name="RiskTemplateSheetName">"miModelo"</definedName>
    <definedName name="RiskUpdateDisplay">FALSE</definedName>
    <definedName name="RiskUseDifferentSeedForEachSim">FALSE</definedName>
    <definedName name="RiskUseFixedSeed">FALSE</definedName>
    <definedName name="RiskUseMultipleCPUs">FALSE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59" i="1" l="1"/>
  <c r="Q59" i="1"/>
  <c r="R59" i="1"/>
  <c r="P59" i="1"/>
  <c r="Q58" i="1"/>
  <c r="R58" i="1"/>
  <c r="S58" i="1"/>
  <c r="P58" i="1"/>
  <c r="Q57" i="1"/>
  <c r="R57" i="1"/>
  <c r="S57" i="1"/>
  <c r="Q56" i="1"/>
  <c r="R56" i="1"/>
  <c r="S56" i="1"/>
  <c r="P56" i="1"/>
  <c r="Q54" i="1"/>
  <c r="R54" i="1"/>
  <c r="R55" i="1" s="1"/>
  <c r="S54" i="1"/>
  <c r="P55" i="1"/>
  <c r="P54" i="1"/>
  <c r="I60" i="1"/>
  <c r="Q53" i="1"/>
  <c r="R53" i="1"/>
  <c r="S53" i="1"/>
  <c r="P53" i="1"/>
  <c r="S55" i="1"/>
  <c r="Q55" i="1"/>
  <c r="Q21" i="1"/>
  <c r="R21" i="1"/>
  <c r="S21" i="1"/>
  <c r="P21" i="1"/>
  <c r="Q20" i="1"/>
  <c r="R20" i="1"/>
  <c r="S20" i="1"/>
  <c r="P20" i="1"/>
  <c r="Q19" i="1"/>
  <c r="R19" i="1"/>
  <c r="S19" i="1"/>
  <c r="P19" i="1"/>
  <c r="Q18" i="1"/>
  <c r="R18" i="1"/>
  <c r="S18" i="1"/>
  <c r="P18" i="1"/>
  <c r="J76" i="1" l="1"/>
  <c r="K76" i="1"/>
  <c r="L76" i="1"/>
  <c r="J73" i="1"/>
  <c r="K73" i="1"/>
  <c r="L73" i="1"/>
  <c r="I73" i="1"/>
  <c r="I76" i="1" s="1"/>
  <c r="I77" i="1"/>
  <c r="I74" i="1"/>
  <c r="L79" i="1"/>
  <c r="J79" i="1"/>
  <c r="K79" i="1"/>
  <c r="I79" i="1"/>
  <c r="J81" i="1" l="1"/>
  <c r="K81" i="1"/>
  <c r="L81" i="1"/>
  <c r="I81" i="1"/>
  <c r="J80" i="1"/>
  <c r="K80" i="1"/>
  <c r="L80" i="1"/>
  <c r="I80" i="1"/>
  <c r="J77" i="1"/>
  <c r="K77" i="1"/>
  <c r="L77" i="1"/>
  <c r="I75" i="1"/>
  <c r="K78" i="1"/>
  <c r="L78" i="1"/>
  <c r="J74" i="1"/>
  <c r="K74" i="1"/>
  <c r="L74" i="1"/>
  <c r="J78" i="1"/>
  <c r="I78" i="1"/>
  <c r="L75" i="1"/>
  <c r="K75" i="1"/>
  <c r="J75" i="1"/>
  <c r="F69" i="1" l="1"/>
  <c r="F68" i="1"/>
  <c r="E68" i="1"/>
  <c r="D68" i="1"/>
  <c r="C68" i="1"/>
  <c r="B68" i="1"/>
  <c r="F66" i="1"/>
  <c r="F65" i="1"/>
  <c r="F62" i="1"/>
  <c r="F61" i="1"/>
  <c r="F64" i="1" s="1"/>
  <c r="F57" i="1"/>
  <c r="E57" i="1"/>
  <c r="D57" i="1"/>
  <c r="C57" i="1"/>
  <c r="B57" i="1"/>
  <c r="L56" i="1"/>
  <c r="L60" i="1" s="1"/>
  <c r="K56" i="1"/>
  <c r="K60" i="1" s="1"/>
  <c r="J56" i="1"/>
  <c r="J60" i="1" s="1"/>
  <c r="I56" i="1"/>
  <c r="F56" i="1"/>
  <c r="L47" i="1"/>
  <c r="K47" i="1"/>
  <c r="J47" i="1"/>
  <c r="I47" i="1"/>
  <c r="B17" i="1" s="1"/>
  <c r="B20" i="1" s="1"/>
  <c r="F47" i="1"/>
  <c r="E47" i="1"/>
  <c r="D47" i="1"/>
  <c r="C47" i="1"/>
  <c r="B47" i="1"/>
  <c r="F43" i="1"/>
  <c r="F46" i="1" s="1"/>
  <c r="F48" i="1" s="1"/>
  <c r="F53" i="1" s="1"/>
  <c r="F54" i="1" s="1"/>
  <c r="E43" i="1"/>
  <c r="E46" i="1" s="1"/>
  <c r="D43" i="1"/>
  <c r="D46" i="1" s="1"/>
  <c r="C43" i="1"/>
  <c r="C46" i="1" s="1"/>
  <c r="B43" i="1"/>
  <c r="B46" i="1" s="1"/>
  <c r="F42" i="1"/>
  <c r="E42" i="1"/>
  <c r="E44" i="1" s="1"/>
  <c r="D42" i="1"/>
  <c r="D44" i="1" s="1"/>
  <c r="C42" i="1"/>
  <c r="B42" i="1"/>
  <c r="F39" i="1"/>
  <c r="F55" i="1" s="1"/>
  <c r="E39" i="1"/>
  <c r="E55" i="1" s="1"/>
  <c r="D39" i="1"/>
  <c r="D55" i="1" s="1"/>
  <c r="C39" i="1"/>
  <c r="C55" i="1" s="1"/>
  <c r="B39" i="1"/>
  <c r="B55" i="1" s="1"/>
  <c r="F38" i="1"/>
  <c r="E38" i="1"/>
  <c r="D38" i="1"/>
  <c r="C38" i="1"/>
  <c r="B38" i="1"/>
  <c r="L37" i="1"/>
  <c r="K37" i="1"/>
  <c r="J37" i="1"/>
  <c r="I37" i="1"/>
  <c r="L33" i="1"/>
  <c r="K33" i="1"/>
  <c r="J33" i="1"/>
  <c r="I33" i="1"/>
  <c r="F33" i="1"/>
  <c r="F34" i="1" s="1"/>
  <c r="E33" i="1"/>
  <c r="E34" i="1" s="1"/>
  <c r="D33" i="1"/>
  <c r="D34" i="1" s="1"/>
  <c r="C33" i="1"/>
  <c r="C34" i="1" s="1"/>
  <c r="B33" i="1"/>
  <c r="B34" i="1" s="1"/>
  <c r="F30" i="1"/>
  <c r="F31" i="1" s="1"/>
  <c r="F25" i="1"/>
  <c r="E25" i="1"/>
  <c r="D25" i="1"/>
  <c r="C25" i="1"/>
  <c r="B25" i="1"/>
  <c r="L24" i="1"/>
  <c r="K24" i="1"/>
  <c r="J24" i="1"/>
  <c r="I24" i="1"/>
  <c r="F22" i="1"/>
  <c r="F24" i="1" s="1"/>
  <c r="L17" i="1"/>
  <c r="K17" i="1"/>
  <c r="J17" i="1"/>
  <c r="C30" i="1" s="1"/>
  <c r="C31" i="1" s="1"/>
  <c r="I17" i="1"/>
  <c r="B30" i="1" s="1"/>
  <c r="B31" i="1" s="1"/>
  <c r="F17" i="1"/>
  <c r="F20" i="1" s="1"/>
  <c r="E17" i="1"/>
  <c r="E20" i="1" s="1"/>
  <c r="F14" i="1"/>
  <c r="F16" i="1" s="1"/>
  <c r="E14" i="1"/>
  <c r="E16" i="1" s="1"/>
  <c r="D14" i="1"/>
  <c r="D16" i="1" s="1"/>
  <c r="C14" i="1"/>
  <c r="C16" i="1" s="1"/>
  <c r="B14" i="1"/>
  <c r="B16" i="1" s="1"/>
  <c r="F11" i="1"/>
  <c r="E11" i="1"/>
  <c r="D11" i="1"/>
  <c r="C11" i="1"/>
  <c r="B11" i="1"/>
  <c r="C48" i="1" l="1"/>
  <c r="C53" i="1" s="1"/>
  <c r="C54" i="1" s="1"/>
  <c r="B44" i="1"/>
  <c r="I25" i="1"/>
  <c r="B22" i="1" s="1"/>
  <c r="B24" i="1" s="1"/>
  <c r="B26" i="1" s="1"/>
  <c r="D40" i="1"/>
  <c r="D50" i="1" s="1"/>
  <c r="D51" i="1" s="1"/>
  <c r="F44" i="1"/>
  <c r="I38" i="1"/>
  <c r="B61" i="1" s="1"/>
  <c r="D48" i="1"/>
  <c r="D53" i="1" s="1"/>
  <c r="D54" i="1" s="1"/>
  <c r="E48" i="1"/>
  <c r="E53" i="1" s="1"/>
  <c r="E54" i="1" s="1"/>
  <c r="F26" i="1"/>
  <c r="E40" i="1"/>
  <c r="E50" i="1" s="1"/>
  <c r="E51" i="1" s="1"/>
  <c r="B48" i="1"/>
  <c r="B53" i="1" s="1"/>
  <c r="B54" i="1" s="1"/>
  <c r="F58" i="1"/>
  <c r="B65" i="1"/>
  <c r="E69" i="1"/>
  <c r="C65" i="1"/>
  <c r="J25" i="1"/>
  <c r="C56" i="1" s="1"/>
  <c r="C58" i="1" s="1"/>
  <c r="B69" i="1"/>
  <c r="J38" i="1"/>
  <c r="C61" i="1" s="1"/>
  <c r="C40" i="1"/>
  <c r="C50" i="1" s="1"/>
  <c r="C51" i="1" s="1"/>
  <c r="C69" i="1"/>
  <c r="L65" i="1"/>
  <c r="L67" i="1" s="1"/>
  <c r="B56" i="1"/>
  <c r="B58" i="1" s="1"/>
  <c r="B62" i="1"/>
  <c r="B63" i="1" s="1"/>
  <c r="B64" i="1"/>
  <c r="K65" i="1"/>
  <c r="K67" i="1" s="1"/>
  <c r="K25" i="1"/>
  <c r="B40" i="1"/>
  <c r="B50" i="1" s="1"/>
  <c r="B51" i="1" s="1"/>
  <c r="C44" i="1"/>
  <c r="I65" i="1"/>
  <c r="D69" i="1"/>
  <c r="C17" i="1"/>
  <c r="C20" i="1" s="1"/>
  <c r="E30" i="1"/>
  <c r="E31" i="1" s="1"/>
  <c r="K38" i="1"/>
  <c r="K48" i="1" s="1"/>
  <c r="F63" i="1"/>
  <c r="D65" i="1"/>
  <c r="J65" i="1"/>
  <c r="J67" i="1" s="1"/>
  <c r="L25" i="1"/>
  <c r="D30" i="1"/>
  <c r="D31" i="1" s="1"/>
  <c r="F40" i="1"/>
  <c r="F50" i="1" s="1"/>
  <c r="F51" i="1" s="1"/>
  <c r="J48" i="1"/>
  <c r="B66" i="1"/>
  <c r="D17" i="1"/>
  <c r="D20" i="1" s="1"/>
  <c r="L38" i="1"/>
  <c r="E65" i="1"/>
  <c r="I48" i="1"/>
  <c r="I67" i="1" l="1"/>
  <c r="P57" i="1"/>
  <c r="C62" i="1"/>
  <c r="C22" i="1"/>
  <c r="C24" i="1" s="1"/>
  <c r="C26" i="1" s="1"/>
  <c r="C66" i="1"/>
  <c r="E62" i="1"/>
  <c r="E56" i="1"/>
  <c r="E58" i="1" s="1"/>
  <c r="E22" i="1"/>
  <c r="E24" i="1" s="1"/>
  <c r="E26" i="1" s="1"/>
  <c r="D62" i="1"/>
  <c r="D56" i="1"/>
  <c r="D58" i="1" s="1"/>
  <c r="D22" i="1"/>
  <c r="D24" i="1" s="1"/>
  <c r="D26" i="1" s="1"/>
  <c r="C64" i="1"/>
  <c r="C63" i="1"/>
  <c r="D66" i="1"/>
  <c r="D61" i="1"/>
  <c r="E66" i="1"/>
  <c r="E61" i="1"/>
  <c r="L48" i="1"/>
  <c r="E64" i="1" l="1"/>
  <c r="E63" i="1"/>
  <c r="D63" i="1"/>
  <c r="D64" i="1"/>
</calcChain>
</file>

<file path=xl/sharedStrings.xml><?xml version="1.0" encoding="utf-8"?>
<sst xmlns="http://schemas.openxmlformats.org/spreadsheetml/2006/main" count="173" uniqueCount="122">
  <si>
    <t>Indicadores Financieros</t>
  </si>
  <si>
    <t>Dic. 11</t>
  </si>
  <si>
    <t>Dic. 12</t>
  </si>
  <si>
    <t>Dic. 13</t>
  </si>
  <si>
    <t>Dic. 14</t>
  </si>
  <si>
    <t>Dic. 15</t>
  </si>
  <si>
    <t>FERREYCORP S.A.A.</t>
  </si>
  <si>
    <t>BALANCE GENERAL</t>
  </si>
  <si>
    <t>INDICE DE RENTABILIDAD</t>
  </si>
  <si>
    <t>(En miles de soles)</t>
  </si>
  <si>
    <t>Resultado sobre Ventas (ROS)</t>
  </si>
  <si>
    <t>Dic. 16</t>
  </si>
  <si>
    <t>Resultado del Ejercicio</t>
  </si>
  <si>
    <t>Ingresos por Ventas</t>
  </si>
  <si>
    <t>ACTIVOS</t>
  </si>
  <si>
    <t>ROS</t>
  </si>
  <si>
    <t>Activo Corriente</t>
  </si>
  <si>
    <t>Márgen Bruto</t>
  </si>
  <si>
    <t xml:space="preserve">Efecto y Equivalente </t>
  </si>
  <si>
    <t>Ingreso por Ventas</t>
  </si>
  <si>
    <t xml:space="preserve">Cuentas por Cobrar Comerciales, Netas </t>
  </si>
  <si>
    <t>Costo de Ventas</t>
  </si>
  <si>
    <t>Existencias</t>
  </si>
  <si>
    <t>Cuentas por Cobrar Diversas</t>
  </si>
  <si>
    <t>MB</t>
  </si>
  <si>
    <t xml:space="preserve">Gastos Pagados por Anticipado </t>
  </si>
  <si>
    <t>Patrimonio</t>
  </si>
  <si>
    <t>Total Activo Corriente</t>
  </si>
  <si>
    <t>ROE</t>
  </si>
  <si>
    <t xml:space="preserve">Inversiones en asociadas </t>
  </si>
  <si>
    <t>ROA</t>
  </si>
  <si>
    <t>Instalaciones, Maquinaria y Equipo</t>
  </si>
  <si>
    <t>Activos Promedio</t>
  </si>
  <si>
    <t xml:space="preserve">Activos Intangibles </t>
  </si>
  <si>
    <t>Resultado Operacional</t>
  </si>
  <si>
    <t xml:space="preserve">Otros Activos </t>
  </si>
  <si>
    <t>Activos</t>
  </si>
  <si>
    <t>Total Activo No Corriente</t>
  </si>
  <si>
    <t>Activos Prescindibles</t>
  </si>
  <si>
    <t>TOTAL ACTIVOS</t>
  </si>
  <si>
    <t>ROIC</t>
  </si>
  <si>
    <t>PASIVOS</t>
  </si>
  <si>
    <t>Pasivo Corriente</t>
  </si>
  <si>
    <t>INDICE DE LIQUIDEZ</t>
  </si>
  <si>
    <t>Sobregiros y Préstamos Bancarios</t>
  </si>
  <si>
    <t>Razón Circulante</t>
  </si>
  <si>
    <t>Cuentas por Pagar Comerciales</t>
  </si>
  <si>
    <t>Activo Circulante</t>
  </si>
  <si>
    <t>Adelanto de Clientes</t>
  </si>
  <si>
    <t>RC</t>
  </si>
  <si>
    <t>Otras Cuentas por Pagar</t>
  </si>
  <si>
    <t>Razón Ácida</t>
  </si>
  <si>
    <t xml:space="preserve">Parte Corriente Deuda de Largo Plazo </t>
  </si>
  <si>
    <t>Valores Negociables</t>
  </si>
  <si>
    <t>Total Pasivo Corriente</t>
  </si>
  <si>
    <t>RA</t>
  </si>
  <si>
    <t>Deudas a Largo Plazo</t>
  </si>
  <si>
    <t xml:space="preserve">Ingresos Diferidos </t>
  </si>
  <si>
    <t>INDICE DE ACTIVIDAD Y ROTACIÓN</t>
  </si>
  <si>
    <t xml:space="preserve">Otros Pasivos de LP </t>
  </si>
  <si>
    <t>Rotación de Cuentas por Cobrar</t>
  </si>
  <si>
    <t>Total Pasivo no Corriente</t>
  </si>
  <si>
    <t>Cuentas por cobrar promedio</t>
  </si>
  <si>
    <t>TOTAL PASIVO</t>
  </si>
  <si>
    <t>Ingresos por  Venta</t>
  </si>
  <si>
    <t>Capital social</t>
  </si>
  <si>
    <t>Prima de Emisión</t>
  </si>
  <si>
    <t>Rotación de Existencia</t>
  </si>
  <si>
    <t xml:space="preserve">Acciones Propias en Cartera </t>
  </si>
  <si>
    <t xml:space="preserve">Otras Reservas del Patrimonio </t>
  </si>
  <si>
    <t>Existencias Promedio</t>
  </si>
  <si>
    <t xml:space="preserve">Reserva Legal </t>
  </si>
  <si>
    <t>RE</t>
  </si>
  <si>
    <t>Resultados Acumulados</t>
  </si>
  <si>
    <t>Rotación de Cuentas por Pagar</t>
  </si>
  <si>
    <t xml:space="preserve">Resultados del Ejercicio </t>
  </si>
  <si>
    <t>Compras por mercadería</t>
  </si>
  <si>
    <t xml:space="preserve">Reserva por traslación </t>
  </si>
  <si>
    <t>Cuentas por pagar promedio</t>
  </si>
  <si>
    <t>TOTAL PATRIMONIO NETO</t>
  </si>
  <si>
    <t>RCP</t>
  </si>
  <si>
    <t>TOTAL PASIVO Y PATRIMONIO</t>
  </si>
  <si>
    <t>Plazo Promedio de Cuentas por Cobrar</t>
  </si>
  <si>
    <t xml:space="preserve">ESTADO DE RESULTADOS </t>
  </si>
  <si>
    <t>Ventas Netas</t>
  </si>
  <si>
    <t xml:space="preserve">Activos Promedio </t>
  </si>
  <si>
    <t>Utilidad (Perdida)Bruta</t>
  </si>
  <si>
    <t>Gastos de Administración</t>
  </si>
  <si>
    <t>Gastos de Venta</t>
  </si>
  <si>
    <t>INDICES DE ENDEUDAMIENTO</t>
  </si>
  <si>
    <t xml:space="preserve">Otros Ingresos (Gastos) Operativos </t>
  </si>
  <si>
    <t>Razón de Endeudamiento</t>
  </si>
  <si>
    <t>Utilidad de Operación</t>
  </si>
  <si>
    <t>Pasivo</t>
  </si>
  <si>
    <t>Ingresos Financieros</t>
  </si>
  <si>
    <t>Activo</t>
  </si>
  <si>
    <t>Gastos Financieros</t>
  </si>
  <si>
    <t>Diferencia en cambio</t>
  </si>
  <si>
    <t>Pasivos</t>
  </si>
  <si>
    <t xml:space="preserve">Participación en los resultados en asociados </t>
  </si>
  <si>
    <t>Pasivos Corto Plazo</t>
  </si>
  <si>
    <t>Utilidad (Pérdida) Antes De IR</t>
  </si>
  <si>
    <t>Impuesto a la Renta (IR)</t>
  </si>
  <si>
    <t>Cobertura de Gastos Financieros</t>
  </si>
  <si>
    <t>Utilidad Neta</t>
  </si>
  <si>
    <t>Resultado Antes de Impuestos</t>
  </si>
  <si>
    <t>CAPITAL</t>
  </si>
  <si>
    <t>Dic.15</t>
  </si>
  <si>
    <t>D/C</t>
  </si>
  <si>
    <t>Total Activos</t>
  </si>
  <si>
    <t>ROA =</t>
  </si>
  <si>
    <t>ROE=</t>
  </si>
  <si>
    <t xml:space="preserve">Patrimonio </t>
  </si>
  <si>
    <t xml:space="preserve">Apalancamiento </t>
  </si>
  <si>
    <t>PASIVO</t>
  </si>
  <si>
    <t xml:space="preserve">Utilidad OPERACIONAL </t>
  </si>
  <si>
    <t>Para el caso de la empresa Ferreycorpe se puede apreciar una tendencia decreciente de los niveles de apalancamiento como se aprecia en la FIG. XX  que esta afectando a una disminución de los niveles de rentabilidad de los activos y la rentabilidad patrimonial, tal como se aprecia en las fIG. Y FIG . Este analisis breve de las dos empresas estan confirmando que a mayor nivel de deuda mayor rentabilidad patrimonial , lo que nos estaría ocurriendo en los ultimos dos años de las empresas antes analizadas.</t>
  </si>
  <si>
    <t xml:space="preserve">Costo de Ventas y administracion </t>
  </si>
  <si>
    <t>Utilidad operacional</t>
  </si>
  <si>
    <t>gastos financieros y otros</t>
  </si>
  <si>
    <t>Utilidad antes IR</t>
  </si>
  <si>
    <t>Impuesto a la Renta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</si>
</sst>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13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u/>
      <sz val="12"/>
      <color rgb="FF000000"/>
      <name val="Arial"/>
      <family val="2"/>
    </font>
    <font>
      <b/>
      <sz val="12"/>
      <color theme="0"/>
      <name val="Arial"/>
      <family val="2"/>
    </font>
    <font>
      <b/>
      <u/>
      <sz val="12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entury Gothic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1F487C"/>
      </patternFill>
    </fill>
    <fill>
      <patternFill patternType="solid">
        <fgColor rgb="FFD8D8D8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96">
    <xf numFmtId="0" fontId="0" fillId="0" borderId="0" xfId="0"/>
    <xf numFmtId="0" fontId="3" fillId="0" borderId="0" xfId="0" applyFont="1"/>
    <xf numFmtId="0" fontId="3" fillId="2" borderId="0" xfId="0" applyFont="1" applyFill="1"/>
    <xf numFmtId="0" fontId="4" fillId="3" borderId="1" xfId="0" applyFont="1" applyFill="1" applyBorder="1"/>
    <xf numFmtId="0" fontId="4" fillId="3" borderId="2" xfId="0" applyFont="1" applyFill="1" applyBorder="1"/>
    <xf numFmtId="0" fontId="4" fillId="0" borderId="1" xfId="0" applyFont="1" applyBorder="1"/>
    <xf numFmtId="0" fontId="3" fillId="0" borderId="1" xfId="0" applyFont="1" applyBorder="1"/>
    <xf numFmtId="0" fontId="6" fillId="2" borderId="0" xfId="0" applyFont="1" applyFill="1"/>
    <xf numFmtId="0" fontId="3" fillId="2" borderId="0" xfId="0" applyFont="1" applyFill="1" applyAlignment="1">
      <alignment horizontal="right"/>
    </xf>
    <xf numFmtId="0" fontId="4" fillId="5" borderId="1" xfId="0" applyFont="1" applyFill="1" applyBorder="1"/>
    <xf numFmtId="0" fontId="4" fillId="6" borderId="1" xfId="0" applyFont="1" applyFill="1" applyBorder="1"/>
    <xf numFmtId="0" fontId="3" fillId="7" borderId="6" xfId="0" applyFont="1" applyFill="1" applyBorder="1" applyAlignment="1">
      <alignment vertical="top"/>
    </xf>
    <xf numFmtId="3" fontId="3" fillId="0" borderId="9" xfId="0" applyNumberFormat="1" applyFont="1" applyFill="1" applyBorder="1" applyAlignment="1">
      <alignment horizontal="right" vertical="top"/>
    </xf>
    <xf numFmtId="0" fontId="3" fillId="7" borderId="10" xfId="0" applyFont="1" applyFill="1" applyBorder="1" applyAlignment="1">
      <alignment vertical="top"/>
    </xf>
    <xf numFmtId="3" fontId="3" fillId="0" borderId="13" xfId="0" applyNumberFormat="1" applyFont="1" applyBorder="1" applyAlignment="1">
      <alignment horizontal="right" vertical="top"/>
    </xf>
    <xf numFmtId="0" fontId="8" fillId="2" borderId="14" xfId="0" applyFont="1" applyFill="1" applyBorder="1" applyAlignment="1">
      <alignment vertical="top"/>
    </xf>
    <xf numFmtId="0" fontId="8" fillId="2" borderId="13" xfId="0" applyFont="1" applyFill="1" applyBorder="1" applyAlignment="1">
      <alignment horizontal="right" vertical="top"/>
    </xf>
    <xf numFmtId="0" fontId="8" fillId="2" borderId="15" xfId="0" applyFont="1" applyFill="1" applyBorder="1" applyAlignment="1">
      <alignment horizontal="right" vertical="top"/>
    </xf>
    <xf numFmtId="0" fontId="8" fillId="2" borderId="16" xfId="0" applyFont="1" applyFill="1" applyBorder="1" applyAlignment="1">
      <alignment horizontal="right" vertical="top"/>
    </xf>
    <xf numFmtId="10" fontId="4" fillId="0" borderId="1" xfId="1" applyNumberFormat="1" applyFont="1" applyBorder="1"/>
    <xf numFmtId="0" fontId="8" fillId="2" borderId="17" xfId="0" applyFont="1" applyFill="1" applyBorder="1" applyAlignment="1">
      <alignment vertical="top"/>
    </xf>
    <xf numFmtId="0" fontId="8" fillId="2" borderId="18" xfId="0" applyFont="1" applyFill="1" applyBorder="1" applyAlignment="1">
      <alignment horizontal="right" vertical="top"/>
    </xf>
    <xf numFmtId="0" fontId="8" fillId="2" borderId="0" xfId="0" applyFont="1" applyFill="1" applyBorder="1" applyAlignment="1">
      <alignment horizontal="right" vertical="top"/>
    </xf>
    <xf numFmtId="0" fontId="3" fillId="2" borderId="19" xfId="0" applyFont="1" applyFill="1" applyBorder="1" applyAlignment="1">
      <alignment horizontal="right"/>
    </xf>
    <xf numFmtId="0" fontId="3" fillId="2" borderId="17" xfId="0" applyFont="1" applyFill="1" applyBorder="1" applyAlignment="1">
      <alignment vertical="top"/>
    </xf>
    <xf numFmtId="3" fontId="3" fillId="2" borderId="13" xfId="0" applyNumberFormat="1" applyFont="1" applyFill="1" applyBorder="1" applyAlignment="1">
      <alignment horizontal="right" vertical="top"/>
    </xf>
    <xf numFmtId="3" fontId="3" fillId="2" borderId="20" xfId="0" applyNumberFormat="1" applyFont="1" applyFill="1" applyBorder="1" applyAlignment="1">
      <alignment horizontal="right" vertical="top"/>
    </xf>
    <xf numFmtId="3" fontId="3" fillId="2" borderId="18" xfId="0" applyNumberFormat="1" applyFont="1" applyFill="1" applyBorder="1" applyAlignment="1">
      <alignment horizontal="right" vertical="top"/>
    </xf>
    <xf numFmtId="3" fontId="3" fillId="2" borderId="21" xfId="0" applyNumberFormat="1" applyFont="1" applyFill="1" applyBorder="1" applyAlignment="1">
      <alignment horizontal="right" vertical="top"/>
    </xf>
    <xf numFmtId="3" fontId="3" fillId="0" borderId="1" xfId="0" applyNumberFormat="1" applyFont="1" applyBorder="1"/>
    <xf numFmtId="0" fontId="4" fillId="8" borderId="22" xfId="0" applyFont="1" applyFill="1" applyBorder="1" applyAlignment="1">
      <alignment vertical="top"/>
    </xf>
    <xf numFmtId="3" fontId="4" fillId="8" borderId="1" xfId="0" applyNumberFormat="1" applyFont="1" applyFill="1" applyBorder="1" applyAlignment="1">
      <alignment horizontal="right" vertical="top"/>
    </xf>
    <xf numFmtId="3" fontId="4" fillId="8" borderId="23" xfId="0" applyNumberFormat="1" applyFont="1" applyFill="1" applyBorder="1" applyAlignment="1">
      <alignment horizontal="right" vertical="top"/>
    </xf>
    <xf numFmtId="0" fontId="4" fillId="8" borderId="24" xfId="0" applyFont="1" applyFill="1" applyBorder="1" applyAlignment="1">
      <alignment vertical="top"/>
    </xf>
    <xf numFmtId="0" fontId="3" fillId="2" borderId="13" xfId="0" applyFont="1" applyFill="1" applyBorder="1" applyAlignment="1">
      <alignment horizontal="right" vertical="top"/>
    </xf>
    <xf numFmtId="0" fontId="3" fillId="2" borderId="20" xfId="0" applyFont="1" applyFill="1" applyBorder="1" applyAlignment="1">
      <alignment horizontal="right" vertical="top"/>
    </xf>
    <xf numFmtId="0" fontId="4" fillId="2" borderId="1" xfId="0" applyFont="1" applyFill="1" applyBorder="1"/>
    <xf numFmtId="0" fontId="4" fillId="2" borderId="17" xfId="0" applyFont="1" applyFill="1" applyBorder="1" applyAlignment="1">
      <alignment vertical="top"/>
    </xf>
    <xf numFmtId="0" fontId="3" fillId="2" borderId="18" xfId="0" applyFont="1" applyFill="1" applyBorder="1" applyAlignment="1">
      <alignment horizontal="right" vertical="top"/>
    </xf>
    <xf numFmtId="0" fontId="3" fillId="2" borderId="21" xfId="0" applyFont="1" applyFill="1" applyBorder="1" applyAlignment="1">
      <alignment horizontal="right" vertical="top"/>
    </xf>
    <xf numFmtId="0" fontId="4" fillId="9" borderId="1" xfId="0" applyFont="1" applyFill="1" applyBorder="1"/>
    <xf numFmtId="3" fontId="3" fillId="2" borderId="0" xfId="0" applyNumberFormat="1" applyFont="1" applyFill="1"/>
    <xf numFmtId="164" fontId="4" fillId="0" borderId="1" xfId="0" applyNumberFormat="1" applyFont="1" applyBorder="1"/>
    <xf numFmtId="3" fontId="3" fillId="0" borderId="18" xfId="0" applyNumberFormat="1" applyFont="1" applyBorder="1" applyAlignment="1">
      <alignment horizontal="right" vertical="top"/>
    </xf>
    <xf numFmtId="0" fontId="3" fillId="2" borderId="10" xfId="0" applyFont="1" applyFill="1" applyBorder="1" applyAlignment="1">
      <alignment vertical="top"/>
    </xf>
    <xf numFmtId="3" fontId="4" fillId="10" borderId="1" xfId="0" applyNumberFormat="1" applyFont="1" applyFill="1" applyBorder="1" applyAlignment="1">
      <alignment horizontal="right" vertical="top"/>
    </xf>
    <xf numFmtId="0" fontId="3" fillId="2" borderId="14" xfId="0" applyFont="1" applyFill="1" applyBorder="1" applyAlignment="1">
      <alignment vertical="top"/>
    </xf>
    <xf numFmtId="0" fontId="4" fillId="8" borderId="25" xfId="0" applyFont="1" applyFill="1" applyBorder="1" applyAlignment="1">
      <alignment vertical="top"/>
    </xf>
    <xf numFmtId="3" fontId="4" fillId="8" borderId="26" xfId="0" applyNumberFormat="1" applyFont="1" applyFill="1" applyBorder="1" applyAlignment="1">
      <alignment horizontal="right" vertical="top"/>
    </xf>
    <xf numFmtId="3" fontId="4" fillId="8" borderId="27" xfId="0" applyNumberFormat="1" applyFont="1" applyFill="1" applyBorder="1" applyAlignment="1">
      <alignment horizontal="right" vertical="top"/>
    </xf>
    <xf numFmtId="0" fontId="3" fillId="2" borderId="17" xfId="0" applyFont="1" applyFill="1" applyBorder="1" applyAlignment="1"/>
    <xf numFmtId="0" fontId="3" fillId="2" borderId="0" xfId="0" applyFont="1" applyFill="1" applyBorder="1" applyAlignment="1">
      <alignment horizontal="right"/>
    </xf>
    <xf numFmtId="0" fontId="3" fillId="2" borderId="19" xfId="0" applyFont="1" applyFill="1" applyBorder="1" applyAlignment="1"/>
    <xf numFmtId="164" fontId="3" fillId="0" borderId="1" xfId="0" applyNumberFormat="1" applyFont="1" applyBorder="1"/>
    <xf numFmtId="0" fontId="4" fillId="2" borderId="17" xfId="0" applyFont="1" applyFill="1" applyBorder="1"/>
    <xf numFmtId="165" fontId="4" fillId="0" borderId="1" xfId="0" applyNumberFormat="1" applyFont="1" applyBorder="1"/>
    <xf numFmtId="0" fontId="6" fillId="2" borderId="17" xfId="0" applyFont="1" applyFill="1" applyBorder="1"/>
    <xf numFmtId="0" fontId="3" fillId="2" borderId="17" xfId="0" applyFont="1" applyFill="1" applyBorder="1"/>
    <xf numFmtId="0" fontId="3" fillId="2" borderId="19" xfId="0" applyFont="1" applyFill="1" applyBorder="1"/>
    <xf numFmtId="0" fontId="7" fillId="7" borderId="7" xfId="0" applyFont="1" applyFill="1" applyBorder="1" applyAlignment="1">
      <alignment horizontal="center" vertical="top"/>
    </xf>
    <xf numFmtId="0" fontId="7" fillId="7" borderId="8" xfId="0" applyFont="1" applyFill="1" applyBorder="1" applyAlignment="1">
      <alignment horizontal="center" vertical="top"/>
    </xf>
    <xf numFmtId="0" fontId="3" fillId="2" borderId="28" xfId="0" applyFont="1" applyFill="1" applyBorder="1" applyAlignment="1">
      <alignment vertical="top"/>
    </xf>
    <xf numFmtId="3" fontId="3" fillId="2" borderId="0" xfId="0" applyNumberFormat="1" applyFont="1" applyFill="1" applyBorder="1" applyAlignment="1">
      <alignment horizontal="right" vertical="top"/>
    </xf>
    <xf numFmtId="0" fontId="4" fillId="8" borderId="29" xfId="0" applyFont="1" applyFill="1" applyBorder="1" applyAlignment="1">
      <alignment vertical="top"/>
    </xf>
    <xf numFmtId="3" fontId="4" fillId="8" borderId="2" xfId="0" applyNumberFormat="1" applyFont="1" applyFill="1" applyBorder="1" applyAlignment="1">
      <alignment horizontal="right" vertical="top"/>
    </xf>
    <xf numFmtId="0" fontId="3" fillId="0" borderId="24" xfId="0" applyFont="1" applyBorder="1" applyAlignment="1">
      <alignment vertical="top"/>
    </xf>
    <xf numFmtId="3" fontId="3" fillId="0" borderId="30" xfId="0" applyNumberFormat="1" applyFont="1" applyBorder="1" applyAlignment="1">
      <alignment horizontal="right" vertical="top"/>
    </xf>
    <xf numFmtId="3" fontId="3" fillId="0" borderId="31" xfId="0" applyNumberFormat="1" applyFont="1" applyBorder="1" applyAlignment="1">
      <alignment horizontal="right" vertical="top"/>
    </xf>
    <xf numFmtId="3" fontId="4" fillId="8" borderId="32" xfId="0" applyNumberFormat="1" applyFont="1" applyFill="1" applyBorder="1" applyAlignment="1">
      <alignment horizontal="right" vertical="top"/>
    </xf>
    <xf numFmtId="3" fontId="4" fillId="8" borderId="33" xfId="0" applyNumberFormat="1" applyFont="1" applyFill="1" applyBorder="1" applyAlignment="1">
      <alignment horizontal="right" vertical="top"/>
    </xf>
    <xf numFmtId="0" fontId="3" fillId="0" borderId="34" xfId="0" applyFont="1" applyFill="1" applyBorder="1"/>
    <xf numFmtId="0" fontId="3" fillId="2" borderId="1" xfId="0" applyFont="1" applyFill="1" applyBorder="1"/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7" fillId="7" borderId="7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/>
    </xf>
    <xf numFmtId="0" fontId="7" fillId="7" borderId="8" xfId="0" applyFont="1" applyFill="1" applyBorder="1" applyAlignment="1">
      <alignment horizontal="center" vertical="center"/>
    </xf>
    <xf numFmtId="0" fontId="7" fillId="7" borderId="12" xfId="0" applyFont="1" applyFill="1" applyBorder="1" applyAlignment="1">
      <alignment horizontal="center" vertical="center"/>
    </xf>
    <xf numFmtId="0" fontId="11" fillId="2" borderId="35" xfId="0" applyFont="1" applyFill="1" applyBorder="1" applyAlignment="1"/>
    <xf numFmtId="0" fontId="9" fillId="7" borderId="1" xfId="0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vertical="center"/>
    </xf>
    <xf numFmtId="3" fontId="11" fillId="2" borderId="13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center"/>
    </xf>
    <xf numFmtId="3" fontId="11" fillId="2" borderId="1" xfId="0" applyNumberFormat="1" applyFont="1" applyFill="1" applyBorder="1" applyAlignment="1">
      <alignment horizontal="center" vertical="center"/>
    </xf>
    <xf numFmtId="3" fontId="11" fillId="2" borderId="2" xfId="0" applyNumberFormat="1" applyFont="1" applyFill="1" applyBorder="1" applyAlignment="1">
      <alignment horizontal="center" vertical="center"/>
    </xf>
    <xf numFmtId="0" fontId="9" fillId="7" borderId="35" xfId="0" applyFont="1" applyFill="1" applyBorder="1" applyAlignment="1">
      <alignment horizontal="center" vertical="center"/>
    </xf>
    <xf numFmtId="3" fontId="11" fillId="2" borderId="36" xfId="0" applyNumberFormat="1" applyFont="1" applyFill="1" applyBorder="1" applyAlignment="1">
      <alignment horizontal="center" vertical="center"/>
    </xf>
    <xf numFmtId="0" fontId="12" fillId="2" borderId="36" xfId="0" applyFont="1" applyFill="1" applyBorder="1"/>
    <xf numFmtId="0" fontId="9" fillId="7" borderId="36" xfId="0" applyFont="1" applyFill="1" applyBorder="1" applyAlignment="1">
      <alignment horizontal="center" vertical="center"/>
    </xf>
    <xf numFmtId="14" fontId="11" fillId="2" borderId="36" xfId="0" applyNumberFormat="1" applyFont="1" applyFill="1" applyBorder="1" applyAlignment="1">
      <alignment vertical="center"/>
    </xf>
    <xf numFmtId="0" fontId="1" fillId="2" borderId="1" xfId="0" applyFont="1" applyFill="1" applyBorder="1"/>
    <xf numFmtId="0" fontId="10" fillId="2" borderId="1" xfId="0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/>
    </xf>
    <xf numFmtId="10" fontId="10" fillId="2" borderId="1" xfId="1" applyNumberFormat="1" applyFont="1" applyFill="1" applyBorder="1" applyAlignment="1">
      <alignment horizontal="center" vertical="center"/>
    </xf>
  </cellXfs>
  <cellStyles count="3">
    <cellStyle name="Normal" xfId="0" builtinId="0"/>
    <cellStyle name="Porcentaje" xfId="1" builtinId="5"/>
    <cellStyle name="Porcentaje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ROA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'BALANCE Y GANANCIAS Y PERDIDAS'!$H$75</c:f>
              <c:strCache>
                <c:ptCount val="1"/>
                <c:pt idx="0">
                  <c:v>ROA =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2"/>
            <c:dispRSqr val="0"/>
            <c:dispEq val="0"/>
          </c:trendline>
          <c:cat>
            <c:strRef>
              <c:f>'BALANCE Y GANANCIAS Y PERDIDAS'!$I$72:$L$72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PERDIDAS'!$I$75:$L$75</c:f>
              <c:numCache>
                <c:formatCode>0.00%</c:formatCode>
                <c:ptCount val="4"/>
                <c:pt idx="0">
                  <c:v>8.8147047679056276E-2</c:v>
                </c:pt>
                <c:pt idx="1">
                  <c:v>7.4695659966741934E-2</c:v>
                </c:pt>
                <c:pt idx="2">
                  <c:v>9.9761685728215158E-2</c:v>
                </c:pt>
                <c:pt idx="3">
                  <c:v>8.9161024643184386E-2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6180960"/>
        <c:axId val="516188016"/>
      </c:lineChart>
      <c:catAx>
        <c:axId val="51618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88016"/>
        <c:crosses val="autoZero"/>
        <c:auto val="1"/>
        <c:lblAlgn val="ctr"/>
        <c:lblOffset val="100"/>
        <c:noMultiLvlLbl val="0"/>
      </c:catAx>
      <c:valAx>
        <c:axId val="516188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809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1"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ROE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'BALANCE Y GANANCIAS Y PERDIDAS'!$H$78</c:f>
              <c:strCache>
                <c:ptCount val="1"/>
                <c:pt idx="0">
                  <c:v>ROE=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2"/>
            <c:dispRSqr val="0"/>
            <c:dispEq val="0"/>
          </c:trendline>
          <c:cat>
            <c:strRef>
              <c:f>'BALANCE Y GANANCIAS Y PERDIDAS'!$I$72:$L$72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PERDIDAS'!$I$78:$L$78</c:f>
              <c:numCache>
                <c:formatCode>0.00%</c:formatCode>
                <c:ptCount val="4"/>
                <c:pt idx="0">
                  <c:v>0.2499104238487545</c:v>
                </c:pt>
                <c:pt idx="1">
                  <c:v>0.21153658157535896</c:v>
                </c:pt>
                <c:pt idx="2">
                  <c:v>0.2697567135317786</c:v>
                </c:pt>
                <c:pt idx="3">
                  <c:v>0.22210226566425464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6190760"/>
        <c:axId val="516187232"/>
      </c:lineChart>
      <c:catAx>
        <c:axId val="516190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87232"/>
        <c:crosses val="autoZero"/>
        <c:auto val="1"/>
        <c:lblAlgn val="ctr"/>
        <c:lblOffset val="100"/>
        <c:noMultiLvlLbl val="0"/>
      </c:catAx>
      <c:valAx>
        <c:axId val="516187232"/>
        <c:scaling>
          <c:orientation val="minMax"/>
          <c:max val="0.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9076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1"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Apalancamiento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'BALANCE Y GANANCIAS Y PERDIDAS'!$H$81</c:f>
              <c:strCache>
                <c:ptCount val="1"/>
                <c:pt idx="0">
                  <c:v>Apalancamiento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2"/>
            <c:dispRSqr val="0"/>
            <c:dispEq val="0"/>
          </c:trendline>
          <c:cat>
            <c:strRef>
              <c:f>'BALANCE Y GANANCIAS Y PERDIDAS'!$I$72:$L$72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PERDIDAS'!$I$81:$L$81</c:f>
              <c:numCache>
                <c:formatCode>0.00</c:formatCode>
                <c:ptCount val="4"/>
                <c:pt idx="0">
                  <c:v>1.8351536486925721</c:v>
                </c:pt>
                <c:pt idx="1">
                  <c:v>1.8319795510146788</c:v>
                </c:pt>
                <c:pt idx="2">
                  <c:v>1.7040111798700741</c:v>
                </c:pt>
                <c:pt idx="3">
                  <c:v>1.491024150441193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6191936"/>
        <c:axId val="516184096"/>
      </c:lineChart>
      <c:catAx>
        <c:axId val="51619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84096"/>
        <c:crosses val="autoZero"/>
        <c:auto val="1"/>
        <c:lblAlgn val="ctr"/>
        <c:lblOffset val="100"/>
        <c:noMultiLvlLbl val="0"/>
      </c:catAx>
      <c:valAx>
        <c:axId val="516184096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91936"/>
        <c:crosses val="autoZero"/>
        <c:crossBetween val="between"/>
        <c:majorUnit val="0.5"/>
        <c:min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1"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ROA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'BALANCE Y GANANCIAS Y PERDIDAS'!$H$75</c:f>
              <c:strCache>
                <c:ptCount val="1"/>
                <c:pt idx="0">
                  <c:v>ROA =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'BALANCE Y GANANCIAS Y PERDIDAS'!$I$72:$L$72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PERDIDAS'!$I$75:$L$75</c:f>
              <c:numCache>
                <c:formatCode>0.00%</c:formatCode>
                <c:ptCount val="4"/>
                <c:pt idx="0">
                  <c:v>8.8147047679056276E-2</c:v>
                </c:pt>
                <c:pt idx="1">
                  <c:v>7.4695659966741934E-2</c:v>
                </c:pt>
                <c:pt idx="2">
                  <c:v>9.9761685728215158E-2</c:v>
                </c:pt>
                <c:pt idx="3">
                  <c:v>8.9161024643184386E-2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6184880"/>
        <c:axId val="516185272"/>
      </c:lineChart>
      <c:catAx>
        <c:axId val="516184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85272"/>
        <c:crosses val="autoZero"/>
        <c:auto val="1"/>
        <c:lblAlgn val="ctr"/>
        <c:lblOffset val="100"/>
        <c:noMultiLvlLbl val="0"/>
      </c:catAx>
      <c:valAx>
        <c:axId val="5161852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848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1"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ROE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'BALANCE Y GANANCIAS Y PERDIDAS'!$H$78</c:f>
              <c:strCache>
                <c:ptCount val="1"/>
                <c:pt idx="0">
                  <c:v>ROE=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'BALANCE Y GANANCIAS Y PERDIDAS'!$I$72:$L$72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PERDIDAS'!$I$78:$L$78</c:f>
              <c:numCache>
                <c:formatCode>0.00%</c:formatCode>
                <c:ptCount val="4"/>
                <c:pt idx="0">
                  <c:v>0.2499104238487545</c:v>
                </c:pt>
                <c:pt idx="1">
                  <c:v>0.21153658157535896</c:v>
                </c:pt>
                <c:pt idx="2">
                  <c:v>0.2697567135317786</c:v>
                </c:pt>
                <c:pt idx="3">
                  <c:v>0.22210226566425464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6189976"/>
        <c:axId val="516192328"/>
      </c:lineChart>
      <c:catAx>
        <c:axId val="516189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92328"/>
        <c:crosses val="autoZero"/>
        <c:auto val="1"/>
        <c:lblAlgn val="ctr"/>
        <c:lblOffset val="100"/>
        <c:noMultiLvlLbl val="0"/>
      </c:catAx>
      <c:valAx>
        <c:axId val="5161923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89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1"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'BALANCE Y GANANCIAS Y PERDIDAS'!$H$81</c:f>
              <c:strCache>
                <c:ptCount val="1"/>
                <c:pt idx="0">
                  <c:v>Apalancamiento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'BALANCE Y GANANCIAS Y PERDIDAS'!$I$72:$L$72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PERDIDAS'!$I$81:$L$81</c:f>
              <c:numCache>
                <c:formatCode>0.00</c:formatCode>
                <c:ptCount val="4"/>
                <c:pt idx="0">
                  <c:v>1.8351536486925721</c:v>
                </c:pt>
                <c:pt idx="1">
                  <c:v>1.8319795510146788</c:v>
                </c:pt>
                <c:pt idx="2">
                  <c:v>1.7040111798700741</c:v>
                </c:pt>
                <c:pt idx="3">
                  <c:v>1.491024150441193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6194680"/>
        <c:axId val="516193504"/>
      </c:lineChart>
      <c:catAx>
        <c:axId val="516194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93504"/>
        <c:crosses val="autoZero"/>
        <c:auto val="1"/>
        <c:lblAlgn val="ctr"/>
        <c:lblOffset val="100"/>
        <c:noMultiLvlLbl val="0"/>
      </c:catAx>
      <c:valAx>
        <c:axId val="516193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6194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1"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4" Type="http://schemas.openxmlformats.org/officeDocument/2006/relationships/chart" Target="../charts/chart3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2476500</xdr:colOff>
      <xdr:row>0</xdr:row>
      <xdr:rowOff>47625</xdr:rowOff>
    </xdr:from>
    <xdr:to>
      <xdr:col>9</xdr:col>
      <xdr:colOff>781050</xdr:colOff>
      <xdr:row>3</xdr:row>
      <xdr:rowOff>153194</xdr:rowOff>
    </xdr:to>
    <xdr:pic>
      <xdr:nvPicPr>
        <xdr:cNvPr id="6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33700" y="47625"/>
          <a:ext cx="1695450" cy="6770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238126</xdr:colOff>
      <xdr:row>67</xdr:row>
      <xdr:rowOff>170259</xdr:rowOff>
    </xdr:from>
    <xdr:to>
      <xdr:col>17</xdr:col>
      <xdr:colOff>547687</xdr:colOff>
      <xdr:row>81</xdr:row>
      <xdr:rowOff>142875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238124</xdr:colOff>
      <xdr:row>83</xdr:row>
      <xdr:rowOff>63102</xdr:rowOff>
    </xdr:from>
    <xdr:to>
      <xdr:col>17</xdr:col>
      <xdr:colOff>500062</xdr:colOff>
      <xdr:row>96</xdr:row>
      <xdr:rowOff>107156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1095374</xdr:colOff>
      <xdr:row>84</xdr:row>
      <xdr:rowOff>63103</xdr:rowOff>
    </xdr:from>
    <xdr:to>
      <xdr:col>11</xdr:col>
      <xdr:colOff>500062</xdr:colOff>
      <xdr:row>99</xdr:row>
      <xdr:rowOff>35719</xdr:rowOff>
    </xdr:to>
    <xdr:graphicFrame macro="">
      <xdr:nvGraphicFramePr>
        <xdr:cNvPr id="7" name="Gráfico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361950</xdr:colOff>
      <xdr:row>0</xdr:row>
      <xdr:rowOff>114300</xdr:rowOff>
    </xdr:from>
    <xdr:to>
      <xdr:col>6</xdr:col>
      <xdr:colOff>361950</xdr:colOff>
      <xdr:row>15</xdr:row>
      <xdr:rowOff>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76200</xdr:colOff>
      <xdr:row>1</xdr:row>
      <xdr:rowOff>38100</xdr:rowOff>
    </xdr:from>
    <xdr:to>
      <xdr:col>13</xdr:col>
      <xdr:colOff>76200</xdr:colOff>
      <xdr:row>15</xdr:row>
      <xdr:rowOff>114300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657225</xdr:colOff>
      <xdr:row>16</xdr:row>
      <xdr:rowOff>123825</xdr:rowOff>
    </xdr:from>
    <xdr:to>
      <xdr:col>8</xdr:col>
      <xdr:colOff>657225</xdr:colOff>
      <xdr:row>31</xdr:row>
      <xdr:rowOff>9525</xdr:rowOff>
    </xdr:to>
    <xdr:graphicFrame macro="">
      <xdr:nvGraphicFramePr>
        <xdr:cNvPr id="4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LAYCONSA\Users\Fredy\Desktop\Julio%20personal\Valor%20Grupo%20Austral\AUSTR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gociación"/>
      <sheetName val="Sup. Especifico"/>
      <sheetName val="Modelo"/>
      <sheetName val="Depreciación"/>
      <sheetName val="Impuestos"/>
    </sheetNames>
    <sheetDataSet>
      <sheetData sheetId="0"/>
      <sheetData sheetId="1">
        <row r="7">
          <cell r="A7" t="str">
            <v>- Los numeros en azul corresponden a datos y los números en negro corresponden a fórmulas.</v>
          </cell>
        </row>
        <row r="8">
          <cell r="A8" t="str">
            <v>- Se asume que la inflación es igual a la devaluación.</v>
          </cell>
        </row>
        <row r="9">
          <cell r="A9" t="str">
            <v>- Se asume que la campaña pesquera coincide con el año calendario.</v>
          </cell>
        </row>
        <row r="11">
          <cell r="C11">
            <v>2000</v>
          </cell>
          <cell r="D11">
            <v>2001</v>
          </cell>
          <cell r="E11">
            <v>2002</v>
          </cell>
          <cell r="F11">
            <v>2003</v>
          </cell>
          <cell r="G11">
            <v>2004</v>
          </cell>
          <cell r="H11">
            <v>2005</v>
          </cell>
          <cell r="I11">
            <v>2006</v>
          </cell>
          <cell r="J11">
            <v>2007</v>
          </cell>
          <cell r="K11">
            <v>2008</v>
          </cell>
          <cell r="L11">
            <v>2009</v>
          </cell>
        </row>
        <row r="12">
          <cell r="C12">
            <v>1</v>
          </cell>
          <cell r="D12">
            <v>2</v>
          </cell>
          <cell r="E12">
            <v>3</v>
          </cell>
          <cell r="F12">
            <v>4</v>
          </cell>
          <cell r="G12">
            <v>5</v>
          </cell>
          <cell r="H12">
            <v>6</v>
          </cell>
          <cell r="I12">
            <v>7</v>
          </cell>
          <cell r="J12">
            <v>8</v>
          </cell>
          <cell r="K12">
            <v>9</v>
          </cell>
          <cell r="L12">
            <v>10</v>
          </cell>
        </row>
        <row r="14">
          <cell r="A14" t="str">
            <v>1.2. SUPUESTOS DE PRECIOS (US$)</v>
          </cell>
        </row>
        <row r="16">
          <cell r="A16" t="str">
            <v>Precio de la harina de soya</v>
          </cell>
          <cell r="B16" t="str">
            <v>(1)</v>
          </cell>
          <cell r="C16">
            <v>157.23551057078214</v>
          </cell>
          <cell r="D16">
            <v>180</v>
          </cell>
          <cell r="E16">
            <v>230</v>
          </cell>
          <cell r="F16">
            <v>230</v>
          </cell>
          <cell r="G16">
            <v>230</v>
          </cell>
          <cell r="H16">
            <v>230</v>
          </cell>
          <cell r="I16">
            <v>230</v>
          </cell>
          <cell r="J16">
            <v>230</v>
          </cell>
          <cell r="K16">
            <v>230</v>
          </cell>
          <cell r="L16">
            <v>230</v>
          </cell>
        </row>
        <row r="17">
          <cell r="A17" t="str">
            <v>Ratio (Precio harina de pescado / Precio harina de soya)</v>
          </cell>
          <cell r="B17" t="str">
            <v>(2)</v>
          </cell>
          <cell r="C17">
            <v>2.4500000000000002</v>
          </cell>
          <cell r="D17">
            <v>2.21</v>
          </cell>
          <cell r="E17">
            <v>2.2000000000000002</v>
          </cell>
          <cell r="F17">
            <v>2.2000000000000002</v>
          </cell>
          <cell r="G17">
            <v>2.2000000000000002</v>
          </cell>
          <cell r="H17">
            <v>2.2000000000000002</v>
          </cell>
          <cell r="I17">
            <v>2.2000000000000002</v>
          </cell>
          <cell r="J17">
            <v>2.2000000000000002</v>
          </cell>
          <cell r="K17">
            <v>2.2000000000000002</v>
          </cell>
          <cell r="L17">
            <v>2.2000000000000002</v>
          </cell>
        </row>
        <row r="18">
          <cell r="A18" t="str">
            <v>Precio de la harina de pescado FAQ (CIF US$/TM)</v>
          </cell>
          <cell r="B18" t="str">
            <v>(3)=(2)x(1)</v>
          </cell>
          <cell r="C18">
            <v>385.22700089841629</v>
          </cell>
          <cell r="D18">
            <v>397.8</v>
          </cell>
          <cell r="E18">
            <v>506.00000000000006</v>
          </cell>
          <cell r="F18">
            <v>506.00000000000006</v>
          </cell>
          <cell r="G18">
            <v>506.00000000000006</v>
          </cell>
          <cell r="H18">
            <v>506.00000000000006</v>
          </cell>
          <cell r="I18">
            <v>506.00000000000006</v>
          </cell>
          <cell r="J18">
            <v>506.00000000000006</v>
          </cell>
          <cell r="K18">
            <v>506.00000000000006</v>
          </cell>
          <cell r="L18">
            <v>506.00000000000006</v>
          </cell>
        </row>
        <row r="19">
          <cell r="A19" t="str">
            <v>Flete Promedio (US$/TM)</v>
          </cell>
          <cell r="B19" t="str">
            <v>(4)</v>
          </cell>
          <cell r="C19">
            <v>45</v>
          </cell>
          <cell r="D19">
            <v>45</v>
          </cell>
          <cell r="E19">
            <v>45</v>
          </cell>
          <cell r="F19">
            <v>45</v>
          </cell>
          <cell r="G19">
            <v>45</v>
          </cell>
          <cell r="H19">
            <v>45</v>
          </cell>
          <cell r="I19">
            <v>45</v>
          </cell>
          <cell r="J19">
            <v>45</v>
          </cell>
          <cell r="K19">
            <v>45</v>
          </cell>
          <cell r="L19">
            <v>45</v>
          </cell>
        </row>
        <row r="20">
          <cell r="A20" t="str">
            <v>Precio de la harina de pescado FAQ (FOB Perú US$/TM)</v>
          </cell>
          <cell r="B20" t="str">
            <v>(5)=(3)-(4)</v>
          </cell>
          <cell r="C20">
            <v>340.22700089841629</v>
          </cell>
          <cell r="D20">
            <v>352.8</v>
          </cell>
          <cell r="E20">
            <v>461.00000000000006</v>
          </cell>
          <cell r="F20">
            <v>461.00000000000006</v>
          </cell>
          <cell r="G20">
            <v>461.00000000000006</v>
          </cell>
          <cell r="H20">
            <v>461.00000000000006</v>
          </cell>
          <cell r="I20">
            <v>461.00000000000006</v>
          </cell>
          <cell r="J20">
            <v>461.00000000000006</v>
          </cell>
          <cell r="K20">
            <v>461.00000000000006</v>
          </cell>
          <cell r="L20">
            <v>461.00000000000006</v>
          </cell>
        </row>
        <row r="22">
          <cell r="A22" t="str">
            <v>Precio de la harina de pescado FAQ (FOB Perú US$/TM)</v>
          </cell>
          <cell r="B22" t="str">
            <v>(6)=(5)</v>
          </cell>
          <cell r="C22">
            <v>340.22700089841629</v>
          </cell>
          <cell r="D22">
            <v>352.8</v>
          </cell>
          <cell r="E22">
            <v>461.00000000000006</v>
          </cell>
          <cell r="F22">
            <v>461.00000000000006</v>
          </cell>
          <cell r="G22">
            <v>461.00000000000006</v>
          </cell>
          <cell r="H22">
            <v>461.00000000000006</v>
          </cell>
          <cell r="I22">
            <v>461.00000000000006</v>
          </cell>
          <cell r="J22">
            <v>461.00000000000006</v>
          </cell>
          <cell r="K22">
            <v>461.00000000000006</v>
          </cell>
          <cell r="L22">
            <v>461.00000000000006</v>
          </cell>
        </row>
        <row r="23">
          <cell r="A23" t="str">
            <v>Prima por Harina Prime / Super Prime</v>
          </cell>
          <cell r="B23" t="str">
            <v>(7)</v>
          </cell>
          <cell r="C23">
            <v>75</v>
          </cell>
          <cell r="D23">
            <v>75</v>
          </cell>
          <cell r="E23">
            <v>75</v>
          </cell>
          <cell r="F23">
            <v>75</v>
          </cell>
          <cell r="G23">
            <v>75</v>
          </cell>
          <cell r="H23">
            <v>75</v>
          </cell>
          <cell r="I23">
            <v>75</v>
          </cell>
          <cell r="J23">
            <v>75</v>
          </cell>
          <cell r="K23">
            <v>75</v>
          </cell>
          <cell r="L23">
            <v>75</v>
          </cell>
        </row>
        <row r="24">
          <cell r="A24" t="str">
            <v>Precio de harina prime / super prime (FOB Perú US$/TM)</v>
          </cell>
          <cell r="B24" t="str">
            <v>(8)=(6)-(7)</v>
          </cell>
          <cell r="C24">
            <v>415.22700089841629</v>
          </cell>
          <cell r="D24">
            <v>427.8</v>
          </cell>
          <cell r="E24">
            <v>536</v>
          </cell>
          <cell r="F24">
            <v>536</v>
          </cell>
          <cell r="G24">
            <v>536</v>
          </cell>
          <cell r="H24">
            <v>536</v>
          </cell>
          <cell r="I24">
            <v>536</v>
          </cell>
          <cell r="J24">
            <v>536</v>
          </cell>
          <cell r="K24">
            <v>536</v>
          </cell>
          <cell r="L24">
            <v>536</v>
          </cell>
        </row>
        <row r="26">
          <cell r="A26" t="str">
            <v>Precio promedio de harina de pescado (US$/TM)</v>
          </cell>
          <cell r="B26" t="str">
            <v>(9)=(27)/(18)</v>
          </cell>
          <cell r="C26">
            <v>410.72700089841629</v>
          </cell>
          <cell r="D26">
            <v>423.3</v>
          </cell>
          <cell r="E26">
            <v>531.5</v>
          </cell>
          <cell r="F26">
            <v>531.5</v>
          </cell>
          <cell r="G26">
            <v>531.5</v>
          </cell>
          <cell r="H26">
            <v>531.5</v>
          </cell>
          <cell r="I26">
            <v>531.5</v>
          </cell>
          <cell r="J26">
            <v>531.5</v>
          </cell>
          <cell r="K26">
            <v>531.5</v>
          </cell>
          <cell r="L26">
            <v>531.5</v>
          </cell>
        </row>
        <row r="28">
          <cell r="A28" t="str">
            <v>Precio del aceite de pescado (CIF US$/TM)</v>
          </cell>
          <cell r="B28" t="str">
            <v>(10)</v>
          </cell>
          <cell r="C28">
            <v>265</v>
          </cell>
          <cell r="D28">
            <v>295</v>
          </cell>
          <cell r="E28">
            <v>345</v>
          </cell>
          <cell r="F28">
            <v>345</v>
          </cell>
          <cell r="G28">
            <v>345</v>
          </cell>
          <cell r="H28">
            <v>345</v>
          </cell>
          <cell r="I28">
            <v>345</v>
          </cell>
          <cell r="J28">
            <v>345</v>
          </cell>
          <cell r="K28">
            <v>345</v>
          </cell>
          <cell r="L28">
            <v>345</v>
          </cell>
        </row>
        <row r="29">
          <cell r="A29" t="str">
            <v>Flete Promedio (US$/TM)</v>
          </cell>
          <cell r="B29" t="str">
            <v>(11)</v>
          </cell>
          <cell r="C29">
            <v>45</v>
          </cell>
          <cell r="D29">
            <v>45</v>
          </cell>
          <cell r="E29">
            <v>45</v>
          </cell>
          <cell r="F29">
            <v>45</v>
          </cell>
          <cell r="G29">
            <v>45</v>
          </cell>
          <cell r="H29">
            <v>45</v>
          </cell>
          <cell r="I29">
            <v>45</v>
          </cell>
          <cell r="J29">
            <v>45</v>
          </cell>
          <cell r="K29">
            <v>45</v>
          </cell>
          <cell r="L29">
            <v>45</v>
          </cell>
        </row>
        <row r="30">
          <cell r="A30" t="str">
            <v>Precio del aceite de pescado (FOB Perú US$/TM)</v>
          </cell>
          <cell r="B30" t="str">
            <v>(12)=(10)-(11)</v>
          </cell>
          <cell r="C30">
            <v>220</v>
          </cell>
          <cell r="D30">
            <v>250</v>
          </cell>
          <cell r="E30">
            <v>300</v>
          </cell>
          <cell r="F30">
            <v>300</v>
          </cell>
          <cell r="G30">
            <v>300</v>
          </cell>
          <cell r="H30">
            <v>300</v>
          </cell>
          <cell r="I30">
            <v>300</v>
          </cell>
          <cell r="J30">
            <v>300</v>
          </cell>
          <cell r="K30">
            <v>300</v>
          </cell>
          <cell r="L30">
            <v>300</v>
          </cell>
        </row>
        <row r="32">
          <cell r="A32" t="str">
            <v>Precio de conservas (US$/CAJA)</v>
          </cell>
          <cell r="B32" t="str">
            <v>(13)</v>
          </cell>
          <cell r="C32">
            <v>11.2</v>
          </cell>
          <cell r="D32">
            <v>11.2</v>
          </cell>
          <cell r="E32">
            <v>11.2</v>
          </cell>
          <cell r="F32">
            <v>11.2</v>
          </cell>
          <cell r="G32">
            <v>11.2</v>
          </cell>
          <cell r="H32">
            <v>11.2</v>
          </cell>
          <cell r="I32">
            <v>11.2</v>
          </cell>
          <cell r="J32">
            <v>11.2</v>
          </cell>
          <cell r="K32">
            <v>11.2</v>
          </cell>
          <cell r="L32">
            <v>11.2</v>
          </cell>
        </row>
        <row r="34">
          <cell r="A34" t="str">
            <v>1.3. SUPUESTOS DE PRODUCCION</v>
          </cell>
        </row>
        <row r="36">
          <cell r="A36" t="str">
            <v>Extracción pesca para harina de pescado (TM)</v>
          </cell>
          <cell r="B36" t="str">
            <v>(14)</v>
          </cell>
          <cell r="C36">
            <v>7000000</v>
          </cell>
          <cell r="D36">
            <v>6000000</v>
          </cell>
          <cell r="E36">
            <v>6000000</v>
          </cell>
          <cell r="F36">
            <v>6000000</v>
          </cell>
          <cell r="G36">
            <v>6000000</v>
          </cell>
          <cell r="H36">
            <v>6000000</v>
          </cell>
          <cell r="I36">
            <v>6000000</v>
          </cell>
          <cell r="J36">
            <v>6000000</v>
          </cell>
          <cell r="K36">
            <v>6000000</v>
          </cell>
          <cell r="L36">
            <v>6000000</v>
          </cell>
        </row>
        <row r="37">
          <cell r="A37" t="str">
            <v>Ratio de conversión (Extracción de Pescado / Producción HP)</v>
          </cell>
          <cell r="B37" t="str">
            <v>(15)</v>
          </cell>
          <cell r="C37">
            <v>4.4000000000000004</v>
          </cell>
          <cell r="D37">
            <v>4.3</v>
          </cell>
          <cell r="E37">
            <v>4.3</v>
          </cell>
          <cell r="F37">
            <v>4.3</v>
          </cell>
          <cell r="G37">
            <v>4.3</v>
          </cell>
          <cell r="H37">
            <v>4.3</v>
          </cell>
          <cell r="I37">
            <v>4.3</v>
          </cell>
          <cell r="J37">
            <v>4.3</v>
          </cell>
          <cell r="K37">
            <v>4.3</v>
          </cell>
          <cell r="L37">
            <v>4.3</v>
          </cell>
        </row>
        <row r="38">
          <cell r="A38" t="str">
            <v>Producción harina de pescado a nivel nacional</v>
          </cell>
          <cell r="B38" t="str">
            <v>(16)=(14)/(15)</v>
          </cell>
          <cell r="C38">
            <v>1590909.0909090908</v>
          </cell>
          <cell r="D38">
            <v>1395348.8372093025</v>
          </cell>
          <cell r="E38">
            <v>1395348.8372093025</v>
          </cell>
          <cell r="F38">
            <v>1395348.8372093025</v>
          </cell>
          <cell r="G38">
            <v>1395348.8372093025</v>
          </cell>
          <cell r="H38">
            <v>1395348.8372093025</v>
          </cell>
          <cell r="I38">
            <v>1395348.8372093025</v>
          </cell>
          <cell r="J38">
            <v>1395348.8372093025</v>
          </cell>
          <cell r="K38">
            <v>1395348.8372093025</v>
          </cell>
          <cell r="L38">
            <v>1395348.8372093025</v>
          </cell>
        </row>
        <row r="39">
          <cell r="A39" t="str">
            <v>Participación de mercado Austral</v>
          </cell>
          <cell r="B39" t="str">
            <v>(17)</v>
          </cell>
          <cell r="C39">
            <v>0.12</v>
          </cell>
          <cell r="D39">
            <v>0.12</v>
          </cell>
          <cell r="E39">
            <v>0.12</v>
          </cell>
          <cell r="F39">
            <v>0.12</v>
          </cell>
          <cell r="G39">
            <v>0.12</v>
          </cell>
          <cell r="H39">
            <v>0.12</v>
          </cell>
          <cell r="I39">
            <v>0.12</v>
          </cell>
          <cell r="J39">
            <v>0.12</v>
          </cell>
          <cell r="K39">
            <v>0.12</v>
          </cell>
          <cell r="L39">
            <v>0.12</v>
          </cell>
        </row>
        <row r="40">
          <cell r="A40" t="str">
            <v>Producción de harina de pescado de Austral (TM)</v>
          </cell>
          <cell r="B40" t="str">
            <v>(18)=(16)x(17)</v>
          </cell>
          <cell r="C40">
            <v>190909.09090909088</v>
          </cell>
          <cell r="D40">
            <v>167441.8604651163</v>
          </cell>
          <cell r="E40">
            <v>167441.8604651163</v>
          </cell>
          <cell r="F40">
            <v>167441.8604651163</v>
          </cell>
          <cell r="G40">
            <v>167441.8604651163</v>
          </cell>
          <cell r="H40">
            <v>167441.8604651163</v>
          </cell>
          <cell r="I40">
            <v>167441.8604651163</v>
          </cell>
          <cell r="J40">
            <v>167441.8604651163</v>
          </cell>
          <cell r="K40">
            <v>167441.8604651163</v>
          </cell>
          <cell r="L40">
            <v>167441.8604651163</v>
          </cell>
        </row>
        <row r="42">
          <cell r="A42" t="str">
            <v>% Producción harina de pescado FAQ</v>
          </cell>
          <cell r="B42" t="str">
            <v>(19)</v>
          </cell>
          <cell r="C42">
            <v>0.06</v>
          </cell>
          <cell r="D42">
            <v>0.06</v>
          </cell>
          <cell r="E42">
            <v>0.06</v>
          </cell>
          <cell r="F42">
            <v>0.06</v>
          </cell>
          <cell r="G42">
            <v>0.06</v>
          </cell>
          <cell r="H42">
            <v>0.06</v>
          </cell>
          <cell r="I42">
            <v>0.06</v>
          </cell>
          <cell r="J42">
            <v>0.06</v>
          </cell>
          <cell r="K42">
            <v>0.06</v>
          </cell>
          <cell r="L42">
            <v>0.06</v>
          </cell>
        </row>
        <row r="43">
          <cell r="A43" t="str">
            <v>Producción de harina de pescado FAQ (TM)</v>
          </cell>
          <cell r="B43" t="str">
            <v>(20)=(18)x(19)</v>
          </cell>
          <cell r="C43">
            <v>11454.545454545452</v>
          </cell>
          <cell r="D43">
            <v>10046.511627906977</v>
          </cell>
          <cell r="E43">
            <v>10046.511627906977</v>
          </cell>
          <cell r="F43">
            <v>10046.511627906977</v>
          </cell>
          <cell r="G43">
            <v>10046.511627906977</v>
          </cell>
          <cell r="H43">
            <v>10046.511627906977</v>
          </cell>
          <cell r="I43">
            <v>10046.511627906977</v>
          </cell>
          <cell r="J43">
            <v>10046.511627906977</v>
          </cell>
          <cell r="K43">
            <v>10046.511627906977</v>
          </cell>
          <cell r="L43">
            <v>10046.511627906977</v>
          </cell>
        </row>
        <row r="44">
          <cell r="A44" t="str">
            <v>Producción de harina de pescado Prime/Super Prime (TM)</v>
          </cell>
          <cell r="B44" t="str">
            <v>(21)=(18)-(20)</v>
          </cell>
          <cell r="C44">
            <v>179454.54545454544</v>
          </cell>
          <cell r="D44">
            <v>157395.34883720934</v>
          </cell>
          <cell r="E44">
            <v>157395.34883720934</v>
          </cell>
          <cell r="F44">
            <v>157395.34883720934</v>
          </cell>
          <cell r="G44">
            <v>157395.34883720934</v>
          </cell>
          <cell r="H44">
            <v>157395.34883720934</v>
          </cell>
          <cell r="I44">
            <v>157395.34883720934</v>
          </cell>
          <cell r="J44">
            <v>157395.34883720934</v>
          </cell>
          <cell r="K44">
            <v>157395.34883720934</v>
          </cell>
          <cell r="L44">
            <v>157395.34883720934</v>
          </cell>
        </row>
        <row r="47">
          <cell r="A47" t="str">
            <v>Ratio de extracción de aceite (Extracción de pescado/Prod. Aceite)</v>
          </cell>
          <cell r="B47" t="str">
            <v>(22)</v>
          </cell>
          <cell r="C47">
            <v>15</v>
          </cell>
          <cell r="D47">
            <v>14.5</v>
          </cell>
          <cell r="E47">
            <v>14.5</v>
          </cell>
          <cell r="F47">
            <v>14.5</v>
          </cell>
          <cell r="G47">
            <v>14.5</v>
          </cell>
          <cell r="H47">
            <v>14.5</v>
          </cell>
          <cell r="I47">
            <v>14.5</v>
          </cell>
          <cell r="J47">
            <v>14.5</v>
          </cell>
          <cell r="K47">
            <v>14.5</v>
          </cell>
          <cell r="L47">
            <v>14.5</v>
          </cell>
        </row>
        <row r="48">
          <cell r="A48" t="str">
            <v>Producción de aceite de pescado (TM)</v>
          </cell>
          <cell r="B48" t="str">
            <v>(23)=(14)x(17)x(22)</v>
          </cell>
          <cell r="C48">
            <v>56000</v>
          </cell>
          <cell r="D48">
            <v>49655.172413793101</v>
          </cell>
          <cell r="E48">
            <v>49655.172413793101</v>
          </cell>
          <cell r="F48">
            <v>49655.172413793101</v>
          </cell>
          <cell r="G48">
            <v>49655.172413793101</v>
          </cell>
          <cell r="H48">
            <v>49655.172413793101</v>
          </cell>
          <cell r="I48">
            <v>49655.172413793101</v>
          </cell>
          <cell r="J48">
            <v>49655.172413793101</v>
          </cell>
          <cell r="K48">
            <v>49655.172413793101</v>
          </cell>
          <cell r="L48">
            <v>49655.172413793101</v>
          </cell>
        </row>
        <row r="50">
          <cell r="A50" t="str">
            <v>Produción de conservas (Cajas)</v>
          </cell>
          <cell r="B50" t="str">
            <v>(24)</v>
          </cell>
          <cell r="C50">
            <v>2600000</v>
          </cell>
          <cell r="D50">
            <v>2600000</v>
          </cell>
          <cell r="E50">
            <v>2600000</v>
          </cell>
          <cell r="F50">
            <v>2600000</v>
          </cell>
          <cell r="G50">
            <v>2600000</v>
          </cell>
          <cell r="H50">
            <v>2600000</v>
          </cell>
          <cell r="I50">
            <v>2600000</v>
          </cell>
          <cell r="J50">
            <v>2600000</v>
          </cell>
          <cell r="K50">
            <v>2600000</v>
          </cell>
          <cell r="L50">
            <v>2600000</v>
          </cell>
        </row>
        <row r="52">
          <cell r="C52">
            <v>2000</v>
          </cell>
          <cell r="D52">
            <v>2001</v>
          </cell>
          <cell r="E52">
            <v>2002</v>
          </cell>
          <cell r="F52">
            <v>2003</v>
          </cell>
          <cell r="G52">
            <v>2004</v>
          </cell>
          <cell r="H52">
            <v>2005</v>
          </cell>
          <cell r="I52">
            <v>2006</v>
          </cell>
          <cell r="J52">
            <v>2007</v>
          </cell>
          <cell r="K52">
            <v>2008</v>
          </cell>
          <cell r="L52">
            <v>2009</v>
          </cell>
        </row>
        <row r="53">
          <cell r="C53">
            <v>1</v>
          </cell>
          <cell r="D53">
            <v>2</v>
          </cell>
          <cell r="E53">
            <v>3</v>
          </cell>
          <cell r="F53">
            <v>4</v>
          </cell>
          <cell r="G53">
            <v>5</v>
          </cell>
          <cell r="H53">
            <v>6</v>
          </cell>
          <cell r="I53">
            <v>7</v>
          </cell>
          <cell r="J53">
            <v>8</v>
          </cell>
          <cell r="K53">
            <v>9</v>
          </cell>
          <cell r="L53">
            <v>10</v>
          </cell>
        </row>
        <row r="55">
          <cell r="A55" t="str">
            <v>1.4. VENTAS POR PRODUCTO</v>
          </cell>
        </row>
        <row r="57">
          <cell r="A57" t="str">
            <v>Venta de harina de pescado Prime / Super Prime</v>
          </cell>
          <cell r="B57" t="str">
            <v>(25)=(21)x(8)</v>
          </cell>
          <cell r="C57">
            <v>74514.372706679438</v>
          </cell>
          <cell r="D57">
            <v>67333.730232558155</v>
          </cell>
          <cell r="E57">
            <v>84363.906976744198</v>
          </cell>
          <cell r="F57">
            <v>84363.906976744198</v>
          </cell>
          <cell r="G57">
            <v>84363.906976744198</v>
          </cell>
          <cell r="H57">
            <v>84363.906976744198</v>
          </cell>
          <cell r="I57">
            <v>84363.906976744198</v>
          </cell>
          <cell r="J57">
            <v>84363.906976744198</v>
          </cell>
          <cell r="K57">
            <v>84363.906976744198</v>
          </cell>
          <cell r="L57">
            <v>84363.906976744198</v>
          </cell>
        </row>
        <row r="58">
          <cell r="A58" t="str">
            <v xml:space="preserve">Venta de harina de pescado FAQ </v>
          </cell>
          <cell r="B58" t="str">
            <v>(26)=(20)x(5)</v>
          </cell>
          <cell r="C58">
            <v>3897.145646654586</v>
          </cell>
          <cell r="D58">
            <v>3544.4093023255818</v>
          </cell>
          <cell r="E58">
            <v>4631.4418604651164</v>
          </cell>
          <cell r="F58">
            <v>4631.4418604651164</v>
          </cell>
          <cell r="G58">
            <v>4631.4418604651164</v>
          </cell>
          <cell r="H58">
            <v>4631.4418604651164</v>
          </cell>
          <cell r="I58">
            <v>4631.4418604651164</v>
          </cell>
          <cell r="J58">
            <v>4631.4418604651164</v>
          </cell>
          <cell r="K58">
            <v>4631.4418604651164</v>
          </cell>
          <cell r="L58">
            <v>4631.4418604651164</v>
          </cell>
        </row>
        <row r="59">
          <cell r="A59" t="str">
            <v>Venta de harina de pescado</v>
          </cell>
          <cell r="B59" t="str">
            <v>(27)=(25)+(26)</v>
          </cell>
          <cell r="C59">
            <v>78411.518353334017</v>
          </cell>
          <cell r="D59">
            <v>70878.13953488374</v>
          </cell>
          <cell r="E59">
            <v>88995.348837209312</v>
          </cell>
          <cell r="F59">
            <v>88995.348837209312</v>
          </cell>
          <cell r="G59">
            <v>88995.348837209312</v>
          </cell>
          <cell r="H59">
            <v>88995.348837209312</v>
          </cell>
          <cell r="I59">
            <v>88995.348837209312</v>
          </cell>
          <cell r="J59">
            <v>88995.348837209312</v>
          </cell>
          <cell r="K59">
            <v>88995.348837209312</v>
          </cell>
          <cell r="L59">
            <v>88995.348837209312</v>
          </cell>
        </row>
        <row r="60">
          <cell r="A60" t="str">
            <v>Venta de aceite de pescado</v>
          </cell>
          <cell r="B60" t="str">
            <v>(28)=(12)x(23)</v>
          </cell>
          <cell r="C60">
            <v>12320</v>
          </cell>
          <cell r="D60">
            <v>12413.793103448275</v>
          </cell>
          <cell r="E60">
            <v>14896.551724137929</v>
          </cell>
          <cell r="F60">
            <v>14896.551724137929</v>
          </cell>
          <cell r="G60">
            <v>14896.551724137929</v>
          </cell>
          <cell r="H60">
            <v>14896.551724137929</v>
          </cell>
          <cell r="I60">
            <v>14896.551724137929</v>
          </cell>
          <cell r="J60">
            <v>14896.551724137929</v>
          </cell>
          <cell r="K60">
            <v>14896.551724137929</v>
          </cell>
          <cell r="L60">
            <v>14896.551724137929</v>
          </cell>
        </row>
        <row r="61">
          <cell r="A61" t="str">
            <v xml:space="preserve">Venta de conservas </v>
          </cell>
          <cell r="B61" t="str">
            <v>(29)=(24)x(13)</v>
          </cell>
          <cell r="C61">
            <v>29120</v>
          </cell>
          <cell r="D61">
            <v>29120</v>
          </cell>
          <cell r="E61">
            <v>29120</v>
          </cell>
          <cell r="F61">
            <v>29120</v>
          </cell>
          <cell r="G61">
            <v>29120</v>
          </cell>
          <cell r="H61">
            <v>29120</v>
          </cell>
          <cell r="I61">
            <v>29120</v>
          </cell>
          <cell r="J61">
            <v>29120</v>
          </cell>
          <cell r="K61">
            <v>29120</v>
          </cell>
          <cell r="L61">
            <v>29120</v>
          </cell>
        </row>
        <row r="63">
          <cell r="A63" t="str">
            <v>Total Ventas Austral</v>
          </cell>
          <cell r="B63" t="str">
            <v>(30)=(27)+(28)+(29)</v>
          </cell>
          <cell r="C63">
            <v>119851.51835333402</v>
          </cell>
          <cell r="D63">
            <v>112411.93263833201</v>
          </cell>
          <cell r="E63">
            <v>133011.90056134725</v>
          </cell>
          <cell r="F63">
            <v>133011.90056134725</v>
          </cell>
          <cell r="G63">
            <v>133011.90056134725</v>
          </cell>
          <cell r="H63">
            <v>133011.90056134725</v>
          </cell>
          <cell r="I63">
            <v>133011.90056134725</v>
          </cell>
          <cell r="J63">
            <v>133011.90056134725</v>
          </cell>
          <cell r="K63">
            <v>133011.90056134725</v>
          </cell>
          <cell r="L63">
            <v>133011.90056134725</v>
          </cell>
        </row>
        <row r="65">
          <cell r="A65" t="str">
            <v>1.5. SUPUESTOS DE COSTO DE VENTAS</v>
          </cell>
        </row>
        <row r="67">
          <cell r="A67" t="str">
            <v>Margen Bruto (%)</v>
          </cell>
          <cell r="B67" t="str">
            <v>(31)</v>
          </cell>
          <cell r="C67">
            <v>0.39909999999999995</v>
          </cell>
          <cell r="D67">
            <v>0.39909999999999995</v>
          </cell>
          <cell r="E67">
            <v>0.39909999999999995</v>
          </cell>
          <cell r="F67">
            <v>0.39909999999999995</v>
          </cell>
          <cell r="G67">
            <v>0.39909999999999995</v>
          </cell>
          <cell r="H67">
            <v>0.39909999999999995</v>
          </cell>
          <cell r="I67">
            <v>0.39909999999999995</v>
          </cell>
          <cell r="J67">
            <v>0.39909999999999995</v>
          </cell>
          <cell r="K67">
            <v>0.39909999999999995</v>
          </cell>
          <cell r="L67">
            <v>0.39909999999999995</v>
          </cell>
        </row>
        <row r="69">
          <cell r="A69" t="str">
            <v>Total Costos de Ventas</v>
          </cell>
          <cell r="B69" t="str">
            <v>(32)=(1-(31))x(30)</v>
          </cell>
          <cell r="C69">
            <v>72018.777378518411</v>
          </cell>
          <cell r="D69">
            <v>67548.330322373702</v>
          </cell>
          <cell r="E69">
            <v>79926.851047313568</v>
          </cell>
          <cell r="F69">
            <v>79926.851047313568</v>
          </cell>
          <cell r="G69">
            <v>79926.851047313568</v>
          </cell>
          <cell r="H69">
            <v>79926.851047313568</v>
          </cell>
          <cell r="I69">
            <v>79926.851047313568</v>
          </cell>
          <cell r="J69">
            <v>79926.851047313568</v>
          </cell>
          <cell r="K69">
            <v>79926.851047313568</v>
          </cell>
          <cell r="L69">
            <v>79926.851047313568</v>
          </cell>
        </row>
        <row r="72">
          <cell r="A72" t="str">
            <v>1.6. SUPUESTOS DE GASTOS DE VENTAS Y ADMINISTRATIVOS</v>
          </cell>
        </row>
        <row r="74">
          <cell r="A74" t="str">
            <v xml:space="preserve">Total Gastos de Ventas </v>
          </cell>
          <cell r="B74" t="str">
            <v>(33)</v>
          </cell>
          <cell r="C74">
            <v>9500</v>
          </cell>
          <cell r="D74">
            <v>9600</v>
          </cell>
          <cell r="E74">
            <v>7700</v>
          </cell>
          <cell r="F74">
            <v>9500</v>
          </cell>
          <cell r="G74">
            <v>9500</v>
          </cell>
          <cell r="H74">
            <v>9500</v>
          </cell>
          <cell r="I74">
            <v>9500</v>
          </cell>
          <cell r="J74">
            <v>9500</v>
          </cell>
          <cell r="K74">
            <v>9500</v>
          </cell>
          <cell r="L74">
            <v>9500</v>
          </cell>
        </row>
        <row r="75">
          <cell r="A75" t="str">
            <v>Gasto de Ventas  por TMHP (US$/TMHP)</v>
          </cell>
          <cell r="B75" t="str">
            <v>(34)=(33)/(18)</v>
          </cell>
          <cell r="C75">
            <v>49.761904761904773</v>
          </cell>
          <cell r="D75">
            <v>57.333333333333329</v>
          </cell>
          <cell r="E75">
            <v>45.9861111111111</v>
          </cell>
          <cell r="F75">
            <v>56.736111111111107</v>
          </cell>
          <cell r="G75">
            <v>56.736111111111107</v>
          </cell>
          <cell r="H75">
            <v>56.736111111111107</v>
          </cell>
          <cell r="I75">
            <v>56.736111111111107</v>
          </cell>
          <cell r="J75">
            <v>56.736111111111107</v>
          </cell>
          <cell r="K75">
            <v>56.736111111111107</v>
          </cell>
          <cell r="L75">
            <v>56.736111111111107</v>
          </cell>
        </row>
        <row r="76">
          <cell r="A76" t="str">
            <v xml:space="preserve">Gasto de Ventas / Ventas </v>
          </cell>
          <cell r="B76" t="str">
            <v>(35)=(33)/(30)</v>
          </cell>
          <cell r="C76">
            <v>7.9264744665086928E-2</v>
          </cell>
          <cell r="D76">
            <v>8.5400186392013328E-2</v>
          </cell>
          <cell r="E76">
            <v>5.7889557005830726E-2</v>
          </cell>
          <cell r="F76">
            <v>7.1422180721479475E-2</v>
          </cell>
          <cell r="G76">
            <v>7.1422180721479475E-2</v>
          </cell>
          <cell r="H76">
            <v>7.1422180721479475E-2</v>
          </cell>
          <cell r="I76">
            <v>7.1422180721479475E-2</v>
          </cell>
          <cell r="J76">
            <v>7.1422180721479475E-2</v>
          </cell>
          <cell r="K76">
            <v>7.1422180721479475E-2</v>
          </cell>
          <cell r="L76">
            <v>7.1422180721479475E-2</v>
          </cell>
        </row>
        <row r="78">
          <cell r="A78" t="str">
            <v>Total Gastos Administrativos (US$)</v>
          </cell>
          <cell r="B78" t="str">
            <v>(36)</v>
          </cell>
          <cell r="C78">
            <v>11400</v>
          </cell>
          <cell r="D78">
            <v>10400</v>
          </cell>
          <cell r="E78">
            <v>10300</v>
          </cell>
          <cell r="F78">
            <v>10200</v>
          </cell>
          <cell r="G78">
            <v>10100</v>
          </cell>
          <cell r="H78">
            <v>10100</v>
          </cell>
          <cell r="I78">
            <v>10100</v>
          </cell>
          <cell r="J78">
            <v>10000</v>
          </cell>
          <cell r="K78">
            <v>10000</v>
          </cell>
          <cell r="L78">
            <v>10000</v>
          </cell>
        </row>
        <row r="79">
          <cell r="A79" t="str">
            <v>Gastos Administrativos por TMHP (US$/TMHP)</v>
          </cell>
          <cell r="B79" t="str">
            <v>(37)=(36)/(18)</v>
          </cell>
          <cell r="C79">
            <v>59.714285714285722</v>
          </cell>
          <cell r="D79">
            <v>62.1111111111111</v>
          </cell>
          <cell r="E79">
            <v>61.513888888888879</v>
          </cell>
          <cell r="F79">
            <v>60.916666666666657</v>
          </cell>
          <cell r="G79">
            <v>60.319444444444436</v>
          </cell>
          <cell r="H79">
            <v>60.319444444444436</v>
          </cell>
          <cell r="I79">
            <v>60.319444444444436</v>
          </cell>
          <cell r="J79">
            <v>59.722222222222214</v>
          </cell>
          <cell r="K79">
            <v>59.722222222222214</v>
          </cell>
          <cell r="L79">
            <v>59.722222222222214</v>
          </cell>
        </row>
      </sheetData>
      <sheetData sheetId="2"/>
      <sheetData sheetId="3">
        <row r="1">
          <cell r="A1" t="str">
            <v>8. CALCULO DE DEPRECIACION</v>
          </cell>
        </row>
        <row r="2">
          <cell r="A2" t="str">
            <v>Austral - Modelo de Valorización</v>
          </cell>
        </row>
        <row r="3">
          <cell r="A3" t="str">
            <v>Miles de US$</v>
          </cell>
        </row>
        <row r="4">
          <cell r="D4">
            <v>1998</v>
          </cell>
          <cell r="E4">
            <v>2000</v>
          </cell>
          <cell r="F4">
            <v>2001</v>
          </cell>
          <cell r="G4">
            <v>2002</v>
          </cell>
          <cell r="H4">
            <v>2003</v>
          </cell>
          <cell r="I4">
            <v>2004</v>
          </cell>
          <cell r="J4">
            <v>2005</v>
          </cell>
          <cell r="K4">
            <v>2006</v>
          </cell>
          <cell r="L4">
            <v>2007</v>
          </cell>
          <cell r="M4">
            <v>2008</v>
          </cell>
          <cell r="N4">
            <v>2009</v>
          </cell>
        </row>
        <row r="7">
          <cell r="A7" t="str">
            <v>8.1. CALCULO DE DEPRECIACIÓN CONTABLE</v>
          </cell>
        </row>
        <row r="9">
          <cell r="A9" t="str">
            <v>Depreciación lineal:</v>
          </cell>
          <cell r="B9">
            <v>0.02</v>
          </cell>
          <cell r="C9" t="str">
            <v>(139)</v>
          </cell>
        </row>
        <row r="11">
          <cell r="A11" t="str">
            <v>Edificios, construcciones e instalaciones bruto</v>
          </cell>
          <cell r="C11" t="str">
            <v>(140)=(140)-1</v>
          </cell>
          <cell r="D11">
            <v>25760</v>
          </cell>
          <cell r="E11">
            <v>25760</v>
          </cell>
          <cell r="F11">
            <v>25760</v>
          </cell>
          <cell r="G11">
            <v>25760</v>
          </cell>
          <cell r="H11">
            <v>25760</v>
          </cell>
          <cell r="I11">
            <v>25760</v>
          </cell>
          <cell r="J11">
            <v>25760</v>
          </cell>
          <cell r="K11">
            <v>25760</v>
          </cell>
          <cell r="L11">
            <v>25760</v>
          </cell>
          <cell r="M11">
            <v>25760</v>
          </cell>
          <cell r="N11">
            <v>25760</v>
          </cell>
        </row>
        <row r="12">
          <cell r="A12" t="str">
            <v>Depreciación del periodo</v>
          </cell>
          <cell r="C12" t="str">
            <v>(141)=(140)x(139)</v>
          </cell>
          <cell r="E12">
            <v>515.20000000000005</v>
          </cell>
          <cell r="F12">
            <v>515.20000000000005</v>
          </cell>
          <cell r="G12">
            <v>515.20000000000005</v>
          </cell>
          <cell r="H12">
            <v>515.20000000000005</v>
          </cell>
          <cell r="I12">
            <v>515.20000000000005</v>
          </cell>
          <cell r="J12">
            <v>515.20000000000005</v>
          </cell>
          <cell r="K12">
            <v>515.20000000000005</v>
          </cell>
          <cell r="L12">
            <v>515.20000000000005</v>
          </cell>
          <cell r="M12">
            <v>515.20000000000005</v>
          </cell>
          <cell r="N12">
            <v>515.20000000000005</v>
          </cell>
        </row>
        <row r="13">
          <cell r="A13" t="str">
            <v>Depreciación Acumulada</v>
          </cell>
          <cell r="C13" t="str">
            <v>(142)=(142)-1 +(141)</v>
          </cell>
          <cell r="D13">
            <v>1835</v>
          </cell>
          <cell r="E13">
            <v>2350.1999999999998</v>
          </cell>
          <cell r="F13">
            <v>2865.3999999999996</v>
          </cell>
          <cell r="G13">
            <v>3380.5999999999995</v>
          </cell>
          <cell r="H13">
            <v>3895.7999999999993</v>
          </cell>
          <cell r="I13">
            <v>4410.9999999999991</v>
          </cell>
          <cell r="J13">
            <v>4926.1999999999989</v>
          </cell>
          <cell r="K13">
            <v>5441.3999999999987</v>
          </cell>
          <cell r="L13">
            <v>5956.5999999999985</v>
          </cell>
          <cell r="M13">
            <v>6471.7999999999984</v>
          </cell>
          <cell r="N13">
            <v>6986.9999999999982</v>
          </cell>
        </row>
        <row r="14">
          <cell r="A14" t="str">
            <v>Edificios Neto</v>
          </cell>
          <cell r="C14" t="str">
            <v>(143)=(140)-(142)</v>
          </cell>
          <cell r="D14">
            <v>23925</v>
          </cell>
          <cell r="E14">
            <v>23409.8</v>
          </cell>
          <cell r="F14">
            <v>22894.6</v>
          </cell>
          <cell r="G14">
            <v>22379.4</v>
          </cell>
          <cell r="H14">
            <v>21864.2</v>
          </cell>
          <cell r="I14">
            <v>21349</v>
          </cell>
          <cell r="J14">
            <v>20833.800000000003</v>
          </cell>
          <cell r="K14">
            <v>20318.600000000002</v>
          </cell>
          <cell r="L14">
            <v>19803.400000000001</v>
          </cell>
          <cell r="M14">
            <v>19288.2</v>
          </cell>
          <cell r="N14">
            <v>18773</v>
          </cell>
        </row>
        <row r="16">
          <cell r="A16" t="str">
            <v>Depreciación lineal:</v>
          </cell>
          <cell r="C16" t="str">
            <v>(144)</v>
          </cell>
        </row>
        <row r="18">
          <cell r="A18" t="str">
            <v>Edificios, construcciones e instalaciones leasing bruto</v>
          </cell>
          <cell r="C18" t="str">
            <v>(145)=(145)-1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</row>
        <row r="19">
          <cell r="A19" t="str">
            <v>Depreciación del periodo</v>
          </cell>
          <cell r="C19" t="str">
            <v>(146)=(145)x(144)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</row>
        <row r="20">
          <cell r="A20" t="str">
            <v>Depreciación Acumulada</v>
          </cell>
          <cell r="C20" t="str">
            <v>(147)=(147)-1 +(146)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</row>
        <row r="21">
          <cell r="A21" t="str">
            <v>Edificios Leasing Neto</v>
          </cell>
          <cell r="C21" t="str">
            <v>(148)=(145)-(147)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</row>
        <row r="23">
          <cell r="A23" t="str">
            <v>Depreciación lineal:</v>
          </cell>
          <cell r="B23">
            <v>4.4949999999999997E-2</v>
          </cell>
          <cell r="C23" t="str">
            <v>(149)</v>
          </cell>
        </row>
        <row r="25">
          <cell r="A25" t="str">
            <v>Embarcaciones y equipo de flota</v>
          </cell>
          <cell r="C25" t="str">
            <v>(150)=(150)-1</v>
          </cell>
          <cell r="D25">
            <v>87318.885760000005</v>
          </cell>
          <cell r="E25">
            <v>87318.885760000005</v>
          </cell>
          <cell r="F25">
            <v>87318.885760000005</v>
          </cell>
          <cell r="G25">
            <v>87318.885760000005</v>
          </cell>
          <cell r="H25">
            <v>87318.885760000005</v>
          </cell>
          <cell r="I25">
            <v>87318.885760000005</v>
          </cell>
          <cell r="J25">
            <v>87318.885760000005</v>
          </cell>
          <cell r="K25">
            <v>87318.885760000005</v>
          </cell>
          <cell r="L25">
            <v>87318.885760000005</v>
          </cell>
          <cell r="M25">
            <v>87318.885760000005</v>
          </cell>
          <cell r="N25">
            <v>87318.885760000005</v>
          </cell>
        </row>
        <row r="26">
          <cell r="A26" t="str">
            <v>Depreciación del periodo</v>
          </cell>
          <cell r="C26" t="str">
            <v>(151)=(150)x(149)</v>
          </cell>
          <cell r="E26">
            <v>3924.9839149119998</v>
          </cell>
          <cell r="F26">
            <v>3924.9839149119998</v>
          </cell>
          <cell r="G26">
            <v>3924.9839149119998</v>
          </cell>
          <cell r="H26">
            <v>3924.9839149119998</v>
          </cell>
          <cell r="I26">
            <v>3924.9839149119998</v>
          </cell>
          <cell r="J26">
            <v>3924.9839149119998</v>
          </cell>
          <cell r="K26">
            <v>3924.9839149119998</v>
          </cell>
          <cell r="L26">
            <v>3924.9839149119998</v>
          </cell>
          <cell r="M26">
            <v>3924.9839149119998</v>
          </cell>
          <cell r="N26">
            <v>3924.9839149119998</v>
          </cell>
        </row>
        <row r="27">
          <cell r="A27" t="str">
            <v>Depreciación Acumulada</v>
          </cell>
          <cell r="B27">
            <v>21369</v>
          </cell>
          <cell r="C27" t="str">
            <v>(152)=(152)-1 +(151)</v>
          </cell>
          <cell r="D27">
            <v>12451.484900773683</v>
          </cell>
          <cell r="E27">
            <v>16376.468815685683</v>
          </cell>
          <cell r="F27">
            <v>20301.452730597681</v>
          </cell>
          <cell r="G27">
            <v>24226.436645509682</v>
          </cell>
          <cell r="H27">
            <v>28151.420560421684</v>
          </cell>
          <cell r="I27">
            <v>32076.404475333686</v>
          </cell>
          <cell r="J27">
            <v>36001.388390245687</v>
          </cell>
          <cell r="K27">
            <v>39926.372305157689</v>
          </cell>
          <cell r="L27">
            <v>43851.356220069691</v>
          </cell>
          <cell r="M27">
            <v>47776.340134981692</v>
          </cell>
          <cell r="N27">
            <v>51701.324049893694</v>
          </cell>
        </row>
        <row r="28">
          <cell r="A28" t="str">
            <v>Embarcaciones y equipo de flota Neto</v>
          </cell>
          <cell r="C28" t="str">
            <v>(153)=(150)-(152)</v>
          </cell>
          <cell r="D28">
            <v>74867.400859226327</v>
          </cell>
          <cell r="E28">
            <v>70942.416944314318</v>
          </cell>
          <cell r="F28">
            <v>67017.433029402324</v>
          </cell>
          <cell r="G28">
            <v>63092.449114490322</v>
          </cell>
          <cell r="H28">
            <v>59167.465199578321</v>
          </cell>
          <cell r="I28">
            <v>55242.481284666319</v>
          </cell>
          <cell r="J28">
            <v>51317.497369754317</v>
          </cell>
          <cell r="K28">
            <v>47392.513454842316</v>
          </cell>
          <cell r="L28">
            <v>43467.529539930314</v>
          </cell>
          <cell r="M28">
            <v>39542.545625018312</v>
          </cell>
          <cell r="N28">
            <v>35617.561710106311</v>
          </cell>
        </row>
        <row r="30">
          <cell r="A30" t="str">
            <v>Depreciación lineal:</v>
          </cell>
          <cell r="B30">
            <v>4.4999999999999998E-2</v>
          </cell>
          <cell r="C30" t="str">
            <v>(154)</v>
          </cell>
        </row>
        <row r="32">
          <cell r="A32" t="str">
            <v>Embarcaciones y equipo de flota leasing bruto</v>
          </cell>
          <cell r="C32" t="str">
            <v>(155)=(155)-1</v>
          </cell>
          <cell r="D32">
            <v>62536.114239999995</v>
          </cell>
          <cell r="E32">
            <v>62536.114239999995</v>
          </cell>
          <cell r="F32">
            <v>62536.114239999995</v>
          </cell>
          <cell r="G32">
            <v>62536.114239999995</v>
          </cell>
          <cell r="H32">
            <v>62536.114239999995</v>
          </cell>
          <cell r="I32">
            <v>62536.114239999995</v>
          </cell>
          <cell r="J32">
            <v>62536.114239999995</v>
          </cell>
          <cell r="K32">
            <v>62536.114239999995</v>
          </cell>
          <cell r="L32">
            <v>62536.114239999995</v>
          </cell>
          <cell r="M32">
            <v>62536.114239999995</v>
          </cell>
          <cell r="N32">
            <v>62536.114239999995</v>
          </cell>
        </row>
        <row r="33">
          <cell r="A33" t="str">
            <v>Depreciación del periodo</v>
          </cell>
          <cell r="C33" t="str">
            <v>(156)=(155)x(154)</v>
          </cell>
          <cell r="E33">
            <v>2814.1251407999998</v>
          </cell>
          <cell r="F33">
            <v>2814.1251407999998</v>
          </cell>
          <cell r="G33">
            <v>2814.1251407999998</v>
          </cell>
          <cell r="H33">
            <v>2814.1251407999998</v>
          </cell>
          <cell r="I33">
            <v>2814.1251407999998</v>
          </cell>
          <cell r="J33">
            <v>2814.1251407999998</v>
          </cell>
          <cell r="K33">
            <v>2814.1251407999998</v>
          </cell>
          <cell r="L33">
            <v>2814.1251407999998</v>
          </cell>
          <cell r="M33">
            <v>2814.1251407999998</v>
          </cell>
          <cell r="N33">
            <v>2814.1251407999998</v>
          </cell>
        </row>
        <row r="34">
          <cell r="A34" t="str">
            <v>Depreciación Acumulada</v>
          </cell>
          <cell r="C34" t="str">
            <v>(157)=(157)-1 +(156)</v>
          </cell>
          <cell r="D34">
            <v>8917.515099226317</v>
          </cell>
          <cell r="E34">
            <v>11731.640240026318</v>
          </cell>
          <cell r="F34">
            <v>14545.765380826317</v>
          </cell>
          <cell r="G34">
            <v>17359.890521626316</v>
          </cell>
          <cell r="H34">
            <v>20174.015662426315</v>
          </cell>
          <cell r="I34">
            <v>22988.140803226313</v>
          </cell>
          <cell r="J34">
            <v>25802.265944026312</v>
          </cell>
          <cell r="K34">
            <v>28616.391084826311</v>
          </cell>
          <cell r="L34">
            <v>31430.51622562631</v>
          </cell>
          <cell r="M34">
            <v>34244.641366426309</v>
          </cell>
          <cell r="N34">
            <v>37058.766507226312</v>
          </cell>
        </row>
        <row r="35">
          <cell r="A35" t="str">
            <v>Embarcaciones y equipo de flota Leasing Neto</v>
          </cell>
          <cell r="C35" t="str">
            <v>(158)=(155)-(157)</v>
          </cell>
          <cell r="D35">
            <v>53618.59914077368</v>
          </cell>
          <cell r="E35">
            <v>50804.473999973678</v>
          </cell>
          <cell r="F35">
            <v>47990.348859173682</v>
          </cell>
          <cell r="G35">
            <v>45176.22371837368</v>
          </cell>
          <cell r="H35">
            <v>42362.098577573677</v>
          </cell>
          <cell r="I35">
            <v>39547.973436773682</v>
          </cell>
          <cell r="J35">
            <v>36733.848295973687</v>
          </cell>
          <cell r="K35">
            <v>33919.723155173684</v>
          </cell>
          <cell r="L35">
            <v>31105.598014373685</v>
          </cell>
          <cell r="M35">
            <v>28291.472873573686</v>
          </cell>
          <cell r="N35">
            <v>25477.347732773684</v>
          </cell>
        </row>
        <row r="37">
          <cell r="A37" t="str">
            <v>Depreciación lineal:</v>
          </cell>
          <cell r="B37">
            <v>5.7000000000000002E-2</v>
          </cell>
          <cell r="C37" t="str">
            <v>(159)</v>
          </cell>
        </row>
        <row r="39">
          <cell r="A39" t="str">
            <v>Maquinaria y Equipo Bruto</v>
          </cell>
          <cell r="C39" t="str">
            <v>(160)=(160)-1</v>
          </cell>
          <cell r="D39">
            <v>136273</v>
          </cell>
          <cell r="E39">
            <v>136273</v>
          </cell>
          <cell r="F39">
            <v>133273</v>
          </cell>
          <cell r="G39">
            <v>128273</v>
          </cell>
          <cell r="H39">
            <v>126273</v>
          </cell>
          <cell r="I39">
            <v>126273</v>
          </cell>
          <cell r="J39">
            <v>126273</v>
          </cell>
          <cell r="K39">
            <v>126273</v>
          </cell>
          <cell r="L39">
            <v>126273</v>
          </cell>
          <cell r="M39">
            <v>126273</v>
          </cell>
          <cell r="N39">
            <v>126273</v>
          </cell>
        </row>
        <row r="40">
          <cell r="A40" t="str">
            <v>Depreciación del periodo</v>
          </cell>
          <cell r="C40" t="str">
            <v>(161)=(160)x(159)</v>
          </cell>
          <cell r="E40">
            <v>7767.5610000000006</v>
          </cell>
          <cell r="F40">
            <v>7596.5610000000006</v>
          </cell>
          <cell r="G40">
            <v>7311.5610000000006</v>
          </cell>
          <cell r="H40">
            <v>7197.5610000000006</v>
          </cell>
          <cell r="I40">
            <v>7197.5610000000006</v>
          </cell>
          <cell r="J40">
            <v>7197.5610000000006</v>
          </cell>
          <cell r="K40">
            <v>7197.5610000000006</v>
          </cell>
          <cell r="L40">
            <v>7197.5610000000006</v>
          </cell>
          <cell r="M40">
            <v>7197.5610000000006</v>
          </cell>
          <cell r="N40">
            <v>7197.5610000000006</v>
          </cell>
        </row>
        <row r="41">
          <cell r="A41" t="str">
            <v>Depreciación Acumulada</v>
          </cell>
          <cell r="C41" t="str">
            <v>(162)=(162)-1 +(161)</v>
          </cell>
          <cell r="D41">
            <v>19503</v>
          </cell>
          <cell r="E41">
            <v>27270.561000000002</v>
          </cell>
          <cell r="F41">
            <v>34867.122000000003</v>
          </cell>
          <cell r="G41">
            <v>42178.683000000005</v>
          </cell>
          <cell r="H41">
            <v>49376.244000000006</v>
          </cell>
          <cell r="I41">
            <v>56573.805000000008</v>
          </cell>
          <cell r="J41">
            <v>63771.366000000009</v>
          </cell>
          <cell r="K41">
            <v>70968.927000000011</v>
          </cell>
          <cell r="L41">
            <v>78166.488000000012</v>
          </cell>
          <cell r="M41">
            <v>85364.049000000014</v>
          </cell>
          <cell r="N41">
            <v>92561.610000000015</v>
          </cell>
        </row>
        <row r="42">
          <cell r="A42" t="str">
            <v>Maquinaria y Equipo Neto</v>
          </cell>
          <cell r="C42" t="str">
            <v>(163)=(160)-(162)</v>
          </cell>
          <cell r="D42">
            <v>116770</v>
          </cell>
          <cell r="E42">
            <v>109002.439</v>
          </cell>
          <cell r="F42">
            <v>98405.877999999997</v>
          </cell>
          <cell r="G42">
            <v>86094.316999999995</v>
          </cell>
          <cell r="H42">
            <v>76896.755999999994</v>
          </cell>
          <cell r="I42">
            <v>69699.194999999992</v>
          </cell>
          <cell r="J42">
            <v>62501.633999999991</v>
          </cell>
          <cell r="K42">
            <v>55304.072999999989</v>
          </cell>
          <cell r="L42">
            <v>48106.511999999988</v>
          </cell>
          <cell r="M42">
            <v>40908.950999999986</v>
          </cell>
          <cell r="N42">
            <v>33711.389999999985</v>
          </cell>
        </row>
        <row r="44">
          <cell r="A44" t="str">
            <v>Depreciación lineal:</v>
          </cell>
          <cell r="C44" t="str">
            <v>(164)</v>
          </cell>
        </row>
        <row r="46">
          <cell r="A46" t="str">
            <v>Maquinaria y Equipo leasing Bruto</v>
          </cell>
          <cell r="C46" t="str">
            <v>(165)=(165)-1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</row>
        <row r="47">
          <cell r="A47" t="str">
            <v>Depreciación del periodo</v>
          </cell>
          <cell r="C47" t="str">
            <v>(166)=(165)x(164)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</row>
        <row r="48">
          <cell r="A48" t="str">
            <v>Depreciación Acumulada</v>
          </cell>
          <cell r="C48" t="str">
            <v>(167)=(167)-1 +(166)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</row>
        <row r="49">
          <cell r="A49" t="str">
            <v>Maquinaria y Equipo Leasing Neto</v>
          </cell>
          <cell r="C49" t="str">
            <v>(168)=(165)-(167)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</row>
        <row r="51">
          <cell r="A51" t="str">
            <v>Depreciación lineal:</v>
          </cell>
          <cell r="B51">
            <v>0.15</v>
          </cell>
          <cell r="C51" t="str">
            <v>(169)</v>
          </cell>
        </row>
        <row r="53">
          <cell r="A53" t="str">
            <v>Vehículos, Muebles y Enseres  Bruto</v>
          </cell>
          <cell r="C53" t="str">
            <v>(170)=(170)-1</v>
          </cell>
          <cell r="D53">
            <v>5964</v>
          </cell>
          <cell r="E53">
            <v>5964</v>
          </cell>
          <cell r="F53">
            <v>5964</v>
          </cell>
          <cell r="G53">
            <v>5964</v>
          </cell>
          <cell r="H53">
            <v>5964</v>
          </cell>
          <cell r="I53">
            <v>5964</v>
          </cell>
          <cell r="J53">
            <v>5964</v>
          </cell>
          <cell r="K53">
            <v>5964</v>
          </cell>
          <cell r="L53">
            <v>5964</v>
          </cell>
          <cell r="M53">
            <v>5964</v>
          </cell>
          <cell r="N53">
            <v>5964</v>
          </cell>
        </row>
        <row r="54">
          <cell r="A54" t="str">
            <v>Depreciación del periodo</v>
          </cell>
          <cell r="C54" t="str">
            <v>(171)=(170)x(169)</v>
          </cell>
          <cell r="E54">
            <v>894.6</v>
          </cell>
          <cell r="F54">
            <v>894.6</v>
          </cell>
          <cell r="G54">
            <v>894.6</v>
          </cell>
          <cell r="H54">
            <v>894.6</v>
          </cell>
          <cell r="I54">
            <v>579.59999999999945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</row>
        <row r="55">
          <cell r="A55" t="str">
            <v>Depreciación Acumulada</v>
          </cell>
          <cell r="C55" t="str">
            <v>(172)=(172)-1 +(171)</v>
          </cell>
          <cell r="D55">
            <v>1806</v>
          </cell>
          <cell r="E55">
            <v>2700.6</v>
          </cell>
          <cell r="F55">
            <v>3595.2</v>
          </cell>
          <cell r="G55">
            <v>4489.8</v>
          </cell>
          <cell r="H55">
            <v>5384.4000000000005</v>
          </cell>
          <cell r="I55">
            <v>5964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</row>
        <row r="56">
          <cell r="A56" t="str">
            <v>Vehículos, Muebles y Enseres Neto</v>
          </cell>
          <cell r="C56" t="str">
            <v>(173)=(170)-(172)</v>
          </cell>
          <cell r="D56">
            <v>4158</v>
          </cell>
          <cell r="E56">
            <v>3263.4</v>
          </cell>
          <cell r="F56">
            <v>2368.8000000000002</v>
          </cell>
          <cell r="G56">
            <v>1474.1999999999998</v>
          </cell>
          <cell r="H56">
            <v>579.59999999999945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</row>
        <row r="58">
          <cell r="A58" t="str">
            <v>Depreciación lineal:</v>
          </cell>
          <cell r="C58" t="str">
            <v>(174)</v>
          </cell>
        </row>
        <row r="60">
          <cell r="A60" t="str">
            <v>Vehículos, Muebles y Enseres  leasing Bruto</v>
          </cell>
          <cell r="C60" t="str">
            <v>(175)=(175)-1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</row>
        <row r="61">
          <cell r="A61" t="str">
            <v>Depreciación del periodo</v>
          </cell>
          <cell r="C61" t="str">
            <v>(176)=(175)x(174)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</row>
        <row r="62">
          <cell r="A62" t="str">
            <v>Depreciación Acumulada</v>
          </cell>
          <cell r="C62" t="str">
            <v>(177)=(177)-1 +(176)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</row>
        <row r="63">
          <cell r="A63" t="str">
            <v>Vehículos, Muebles y Enseres Leasing Neto</v>
          </cell>
          <cell r="C63" t="str">
            <v>(178)=(175)-(177)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</row>
        <row r="65">
          <cell r="A65" t="str">
            <v>Depreciación lineal:</v>
          </cell>
          <cell r="C65" t="str">
            <v>(179)</v>
          </cell>
        </row>
        <row r="67">
          <cell r="A67" t="str">
            <v>CAPEX Bruto</v>
          </cell>
          <cell r="C67" t="str">
            <v>(180)=(180)-1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</row>
        <row r="68">
          <cell r="A68" t="str">
            <v>Depreciación del periodo</v>
          </cell>
          <cell r="C68" t="str">
            <v>(181)=(180)x(179)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</row>
        <row r="69">
          <cell r="A69" t="str">
            <v>Depreciación Acumulada</v>
          </cell>
          <cell r="C69" t="str">
            <v>(182)=(182)-1 +(181)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</row>
        <row r="70">
          <cell r="A70" t="str">
            <v>CAPEX Neto</v>
          </cell>
          <cell r="C70" t="str">
            <v>(183)=(180)-(182)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</row>
        <row r="72">
          <cell r="A72" t="str">
            <v>Depreciación lineal:</v>
          </cell>
          <cell r="B72">
            <v>4.4999999999999998E-2</v>
          </cell>
          <cell r="C72" t="str">
            <v>(184)</v>
          </cell>
        </row>
        <row r="74">
          <cell r="A74" t="str">
            <v>CAPEX leasing Bruto</v>
          </cell>
          <cell r="C74" t="str">
            <v>(185)=(185)-1</v>
          </cell>
          <cell r="E74">
            <v>20696.964</v>
          </cell>
          <cell r="F74">
            <v>20696.964</v>
          </cell>
          <cell r="G74">
            <v>20696.964</v>
          </cell>
          <cell r="H74">
            <v>20696.964</v>
          </cell>
          <cell r="I74">
            <v>20696.964</v>
          </cell>
          <cell r="J74">
            <v>20696.964</v>
          </cell>
          <cell r="K74">
            <v>20696.964</v>
          </cell>
          <cell r="L74">
            <v>20696.964</v>
          </cell>
          <cell r="M74">
            <v>20696.964</v>
          </cell>
          <cell r="N74">
            <v>20696.964</v>
          </cell>
        </row>
        <row r="75">
          <cell r="A75" t="str">
            <v>Depreciación del periodo</v>
          </cell>
          <cell r="C75" t="str">
            <v>(186)=(185)x(184)</v>
          </cell>
          <cell r="E75">
            <v>465.68169</v>
          </cell>
          <cell r="F75">
            <v>931.36338000000001</v>
          </cell>
          <cell r="G75">
            <v>931.36338000000001</v>
          </cell>
          <cell r="H75">
            <v>931.36338000000001</v>
          </cell>
          <cell r="I75">
            <v>931.36338000000001</v>
          </cell>
          <cell r="J75">
            <v>931.36338000000001</v>
          </cell>
          <cell r="K75">
            <v>931.36338000000001</v>
          </cell>
          <cell r="L75">
            <v>931.36338000000001</v>
          </cell>
          <cell r="M75">
            <v>931.36338000000001</v>
          </cell>
          <cell r="N75">
            <v>931.36338000000001</v>
          </cell>
        </row>
        <row r="76">
          <cell r="A76" t="str">
            <v>Depreciación Acumulada</v>
          </cell>
          <cell r="C76" t="str">
            <v>(187)=(187)-1 +(186)</v>
          </cell>
          <cell r="E76">
            <v>465.68169</v>
          </cell>
          <cell r="F76">
            <v>1397.0450700000001</v>
          </cell>
          <cell r="G76">
            <v>2328.4084499999999</v>
          </cell>
          <cell r="H76">
            <v>3259.7718299999997</v>
          </cell>
          <cell r="I76">
            <v>4191.1352099999995</v>
          </cell>
          <cell r="J76">
            <v>5122.4985899999992</v>
          </cell>
          <cell r="K76">
            <v>6053.861969999999</v>
          </cell>
          <cell r="L76">
            <v>6985.2253499999988</v>
          </cell>
          <cell r="M76">
            <v>7916.5887299999986</v>
          </cell>
          <cell r="N76">
            <v>8847.9521099999984</v>
          </cell>
        </row>
        <row r="77">
          <cell r="A77" t="str">
            <v>CAPEX Leasing Neto</v>
          </cell>
          <cell r="C77" t="str">
            <v>(188)=(185)-(187)</v>
          </cell>
          <cell r="E77">
            <v>20231.282309999999</v>
          </cell>
          <cell r="F77">
            <v>19299.91893</v>
          </cell>
          <cell r="G77">
            <v>18368.555550000001</v>
          </cell>
          <cell r="H77">
            <v>17437.192170000002</v>
          </cell>
          <cell r="I77">
            <v>16505.82879</v>
          </cell>
          <cell r="J77">
            <v>15574.465410000001</v>
          </cell>
          <cell r="K77">
            <v>14643.102030000002</v>
          </cell>
          <cell r="L77">
            <v>13711.738650000001</v>
          </cell>
          <cell r="M77">
            <v>12780.37527</v>
          </cell>
          <cell r="N77">
            <v>11849.011890000002</v>
          </cell>
        </row>
        <row r="79">
          <cell r="A79" t="str">
            <v>Depreciación lineal:</v>
          </cell>
          <cell r="B79">
            <v>0.1</v>
          </cell>
          <cell r="C79" t="str">
            <v>(189)</v>
          </cell>
        </row>
        <row r="81">
          <cell r="A81" t="str">
            <v>Unidades por recibir Bruto</v>
          </cell>
          <cell r="C81" t="str">
            <v>(190)=(190)-1</v>
          </cell>
          <cell r="D81">
            <v>3052</v>
          </cell>
          <cell r="E81">
            <v>3052</v>
          </cell>
          <cell r="F81">
            <v>3052</v>
          </cell>
          <cell r="G81">
            <v>3052</v>
          </cell>
          <cell r="H81">
            <v>3052</v>
          </cell>
          <cell r="I81">
            <v>3052</v>
          </cell>
          <cell r="J81">
            <v>3052</v>
          </cell>
          <cell r="K81">
            <v>3052</v>
          </cell>
          <cell r="L81">
            <v>3052</v>
          </cell>
          <cell r="M81">
            <v>3052</v>
          </cell>
          <cell r="N81">
            <v>3052</v>
          </cell>
        </row>
        <row r="82">
          <cell r="A82" t="str">
            <v>Depreciación del periodo</v>
          </cell>
          <cell r="C82" t="str">
            <v>(191)=(190)x(189)</v>
          </cell>
          <cell r="E82">
            <v>305.2</v>
          </cell>
          <cell r="F82">
            <v>305.2</v>
          </cell>
          <cell r="G82">
            <v>305.2</v>
          </cell>
          <cell r="H82">
            <v>305.2</v>
          </cell>
          <cell r="I82">
            <v>305.2</v>
          </cell>
          <cell r="J82">
            <v>305.2</v>
          </cell>
          <cell r="K82">
            <v>305.2</v>
          </cell>
          <cell r="L82">
            <v>305.2</v>
          </cell>
          <cell r="M82">
            <v>305.2</v>
          </cell>
          <cell r="N82">
            <v>186.20000000000027</v>
          </cell>
        </row>
        <row r="83">
          <cell r="A83" t="str">
            <v>Depreciación Acumulada</v>
          </cell>
          <cell r="C83" t="str">
            <v>(192)=(192)-1 +(191)</v>
          </cell>
          <cell r="D83">
            <v>119</v>
          </cell>
          <cell r="E83">
            <v>424.2</v>
          </cell>
          <cell r="F83">
            <v>729.4</v>
          </cell>
          <cell r="G83">
            <v>1034.5999999999999</v>
          </cell>
          <cell r="H83">
            <v>1339.8</v>
          </cell>
          <cell r="I83">
            <v>1645</v>
          </cell>
          <cell r="J83">
            <v>1950.2</v>
          </cell>
          <cell r="K83">
            <v>2255.4</v>
          </cell>
          <cell r="L83">
            <v>2560.6</v>
          </cell>
          <cell r="M83">
            <v>2865.7999999999997</v>
          </cell>
          <cell r="N83">
            <v>3052</v>
          </cell>
        </row>
        <row r="84">
          <cell r="A84" t="str">
            <v>Unidades por recibir Neto</v>
          </cell>
          <cell r="C84" t="str">
            <v>(193)=(190)-(192)</v>
          </cell>
          <cell r="D84">
            <v>2933</v>
          </cell>
          <cell r="E84">
            <v>2627.8</v>
          </cell>
          <cell r="F84">
            <v>2322.6</v>
          </cell>
          <cell r="G84">
            <v>2017.4</v>
          </cell>
          <cell r="H84">
            <v>1712.2</v>
          </cell>
          <cell r="I84">
            <v>1407</v>
          </cell>
          <cell r="J84">
            <v>1101.8</v>
          </cell>
          <cell r="K84">
            <v>796.59999999999991</v>
          </cell>
          <cell r="L84">
            <v>491.40000000000009</v>
          </cell>
          <cell r="M84">
            <v>186.20000000000027</v>
          </cell>
          <cell r="N84">
            <v>0</v>
          </cell>
        </row>
        <row r="86">
          <cell r="A86" t="str">
            <v>Depreciación lineal:</v>
          </cell>
          <cell r="C86" t="str">
            <v>(194)</v>
          </cell>
        </row>
        <row r="88">
          <cell r="A88" t="str">
            <v>Activos Fijos no depreciables</v>
          </cell>
          <cell r="C88" t="str">
            <v>(195)=(195)-1</v>
          </cell>
          <cell r="D88">
            <v>28293</v>
          </cell>
          <cell r="E88">
            <v>28293</v>
          </cell>
          <cell r="F88">
            <v>28293</v>
          </cell>
          <cell r="G88">
            <v>28293</v>
          </cell>
          <cell r="H88">
            <v>28293</v>
          </cell>
          <cell r="I88">
            <v>28293</v>
          </cell>
          <cell r="J88">
            <v>28293</v>
          </cell>
          <cell r="K88">
            <v>28293</v>
          </cell>
          <cell r="L88">
            <v>28293</v>
          </cell>
          <cell r="M88">
            <v>28293</v>
          </cell>
          <cell r="N88">
            <v>28293</v>
          </cell>
        </row>
        <row r="89">
          <cell r="A89" t="str">
            <v>Depreciación del periodo</v>
          </cell>
          <cell r="C89" t="str">
            <v>(196)=(195)x(194)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  <row r="90">
          <cell r="A90" t="str">
            <v>Depreciación Acumulada</v>
          </cell>
          <cell r="C90" t="str">
            <v>(197)=(197)-1 +(196)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</row>
        <row r="91">
          <cell r="A91" t="str">
            <v>Activos Fijos Diversos Neto</v>
          </cell>
          <cell r="C91" t="str">
            <v>(198)=(195)-(197)</v>
          </cell>
          <cell r="D91">
            <v>28293</v>
          </cell>
          <cell r="E91">
            <v>28293</v>
          </cell>
          <cell r="F91">
            <v>28293</v>
          </cell>
          <cell r="G91">
            <v>28293</v>
          </cell>
          <cell r="H91">
            <v>28293</v>
          </cell>
          <cell r="I91">
            <v>28293</v>
          </cell>
          <cell r="J91">
            <v>28293</v>
          </cell>
          <cell r="K91">
            <v>28293</v>
          </cell>
          <cell r="L91">
            <v>28293</v>
          </cell>
          <cell r="M91">
            <v>28293</v>
          </cell>
          <cell r="N91">
            <v>28293</v>
          </cell>
        </row>
        <row r="93">
          <cell r="A93" t="str">
            <v>Total Depreciación Contable del Periodo</v>
          </cell>
          <cell r="C93" t="str">
            <v>(199)</v>
          </cell>
          <cell r="E93">
            <v>16687.351745712</v>
          </cell>
          <cell r="F93">
            <v>16982.033435711997</v>
          </cell>
          <cell r="G93">
            <v>16697.033435711997</v>
          </cell>
          <cell r="H93">
            <v>16583.033435711997</v>
          </cell>
          <cell r="I93">
            <v>16268.033435711999</v>
          </cell>
          <cell r="J93">
            <v>15688.433435712001</v>
          </cell>
          <cell r="K93">
            <v>15688.433435712001</v>
          </cell>
          <cell r="L93">
            <v>15688.433435712001</v>
          </cell>
          <cell r="M93">
            <v>15688.433435712001</v>
          </cell>
          <cell r="N93">
            <v>15569.433435712001</v>
          </cell>
        </row>
        <row r="94">
          <cell r="A94" t="str">
            <v>Total Activo Fijo Neto</v>
          </cell>
          <cell r="C94" t="str">
            <v>(200)</v>
          </cell>
          <cell r="D94">
            <v>304565</v>
          </cell>
          <cell r="E94">
            <v>308574.61225428799</v>
          </cell>
          <cell r="F94">
            <v>288592.578818576</v>
          </cell>
          <cell r="G94">
            <v>266895.54538286402</v>
          </cell>
          <cell r="H94">
            <v>248312.51194715203</v>
          </cell>
          <cell r="I94">
            <v>232044.47851143999</v>
          </cell>
          <cell r="J94">
            <v>216356.04507572798</v>
          </cell>
          <cell r="K94">
            <v>200667.611640016</v>
          </cell>
          <cell r="L94">
            <v>184979.17820430399</v>
          </cell>
          <cell r="M94">
            <v>169290.74476859201</v>
          </cell>
          <cell r="N94">
            <v>153721.31133288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81"/>
  <sheetViews>
    <sheetView tabSelected="1" topLeftCell="G58" zoomScale="80" zoomScaleNormal="80" workbookViewId="0">
      <selection activeCell="S79" sqref="S79"/>
    </sheetView>
  </sheetViews>
  <sheetFormatPr baseColWidth="10" defaultColWidth="11.42578125" defaultRowHeight="15" x14ac:dyDescent="0.2"/>
  <cols>
    <col min="1" max="1" width="34.42578125" style="1" hidden="1" customWidth="1"/>
    <col min="2" max="2" width="11.42578125" style="1" hidden="1" customWidth="1"/>
    <col min="3" max="6" width="0" style="1" hidden="1" customWidth="1"/>
    <col min="7" max="7" width="6.85546875" style="1" customWidth="1"/>
    <col min="8" max="8" width="27.7109375" style="1" customWidth="1"/>
    <col min="9" max="12" width="13.7109375" style="1" customWidth="1"/>
    <col min="13" max="13" width="8.7109375" style="1" customWidth="1"/>
    <col min="14" max="14" width="11.42578125" style="1"/>
    <col min="15" max="15" width="27.7109375" style="1" customWidth="1"/>
    <col min="16" max="19" width="13.7109375" style="1" customWidth="1"/>
    <col min="20" max="16384" width="11.42578125" style="1"/>
  </cols>
  <sheetData>
    <row r="1" spans="1:52" x14ac:dyDescent="0.2"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52" x14ac:dyDescent="0.2"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52" x14ac:dyDescent="0.2"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52" ht="15.75" thickBot="1" x14ac:dyDescent="0.25"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52" ht="20.25" customHeight="1" thickBot="1" x14ac:dyDescent="0.3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  <c r="F5" s="4" t="s">
        <v>5</v>
      </c>
      <c r="G5" s="72" t="s">
        <v>6</v>
      </c>
      <c r="H5" s="73"/>
      <c r="I5" s="73"/>
      <c r="J5" s="73"/>
      <c r="K5" s="73"/>
      <c r="L5" s="73"/>
      <c r="M5" s="74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52" ht="15.75" x14ac:dyDescent="0.25">
      <c r="A6" s="5"/>
      <c r="B6" s="6"/>
      <c r="C6" s="6"/>
      <c r="D6" s="6"/>
      <c r="E6" s="6"/>
      <c r="F6" s="6"/>
      <c r="G6" s="2"/>
      <c r="H6" s="7" t="s">
        <v>7</v>
      </c>
      <c r="I6" s="8"/>
      <c r="J6" s="8"/>
      <c r="K6" s="8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</row>
    <row r="7" spans="1:52" ht="16.5" thickBot="1" x14ac:dyDescent="0.3">
      <c r="A7" s="9" t="s">
        <v>8</v>
      </c>
      <c r="B7" s="6"/>
      <c r="C7" s="6"/>
      <c r="D7" s="6"/>
      <c r="E7" s="6"/>
      <c r="F7" s="6"/>
      <c r="G7" s="2"/>
      <c r="H7" s="2" t="s">
        <v>9</v>
      </c>
      <c r="I7" s="8"/>
      <c r="J7" s="8"/>
      <c r="K7" s="8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</row>
    <row r="8" spans="1:52" ht="15.75" x14ac:dyDescent="0.25">
      <c r="A8" s="10" t="s">
        <v>10</v>
      </c>
      <c r="H8" s="11"/>
      <c r="I8" s="75" t="s">
        <v>3</v>
      </c>
      <c r="J8" s="75" t="s">
        <v>4</v>
      </c>
      <c r="K8" s="75" t="s">
        <v>5</v>
      </c>
      <c r="L8" s="77" t="s">
        <v>11</v>
      </c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52" x14ac:dyDescent="0.2">
      <c r="A9" s="6" t="s">
        <v>12</v>
      </c>
      <c r="B9" s="12">
        <v>18414</v>
      </c>
      <c r="C9" s="12">
        <v>30390</v>
      </c>
      <c r="D9" s="12">
        <v>80628</v>
      </c>
      <c r="E9" s="12">
        <v>62721</v>
      </c>
      <c r="F9" s="12">
        <v>59159</v>
      </c>
      <c r="H9" s="13"/>
      <c r="I9" s="76"/>
      <c r="J9" s="76"/>
      <c r="K9" s="76"/>
      <c r="L9" s="78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52" ht="15.75" x14ac:dyDescent="0.2">
      <c r="A10" s="6" t="s">
        <v>13</v>
      </c>
      <c r="B10" s="14">
        <v>956091</v>
      </c>
      <c r="C10" s="14">
        <v>973256</v>
      </c>
      <c r="D10" s="14">
        <v>1169801</v>
      </c>
      <c r="E10" s="14">
        <v>1474924</v>
      </c>
      <c r="F10" s="14">
        <v>1309020</v>
      </c>
      <c r="H10" s="15" t="s">
        <v>14</v>
      </c>
      <c r="I10" s="16"/>
      <c r="J10" s="17"/>
      <c r="K10" s="17"/>
      <c r="L10" s="18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52" ht="15.75" x14ac:dyDescent="0.25">
      <c r="A11" s="6" t="s">
        <v>15</v>
      </c>
      <c r="B11" s="19">
        <f>B9/B10</f>
        <v>1.9259672980919181E-2</v>
      </c>
      <c r="C11" s="19">
        <f t="shared" ref="C11:F11" si="0">C9/C10</f>
        <v>3.12250836367821E-2</v>
      </c>
      <c r="D11" s="19">
        <f t="shared" si="0"/>
        <v>6.8924543576215094E-2</v>
      </c>
      <c r="E11" s="19">
        <f t="shared" si="0"/>
        <v>4.2524902978051747E-2</v>
      </c>
      <c r="F11" s="19">
        <f t="shared" si="0"/>
        <v>4.5193350750943453E-2</v>
      </c>
      <c r="H11" s="20" t="s">
        <v>16</v>
      </c>
      <c r="I11" s="21"/>
      <c r="J11" s="22"/>
      <c r="K11" s="22"/>
      <c r="L11" s="23"/>
      <c r="M11" s="2"/>
      <c r="N11" s="2"/>
      <c r="O11" s="71" t="s">
        <v>30</v>
      </c>
      <c r="P11" s="71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52" ht="15.75" x14ac:dyDescent="0.25">
      <c r="A12" s="10" t="s">
        <v>17</v>
      </c>
      <c r="B12" s="6"/>
      <c r="C12" s="6"/>
      <c r="D12" s="6"/>
      <c r="E12" s="6"/>
      <c r="F12" s="6"/>
      <c r="H12" s="24" t="s">
        <v>18</v>
      </c>
      <c r="I12" s="25">
        <v>119413</v>
      </c>
      <c r="J12" s="25">
        <v>89949</v>
      </c>
      <c r="K12" s="25">
        <v>233322</v>
      </c>
      <c r="L12" s="26">
        <v>128982</v>
      </c>
      <c r="M12" s="2"/>
      <c r="N12" s="2"/>
      <c r="O12" s="71" t="s">
        <v>28</v>
      </c>
      <c r="P12" s="71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52" x14ac:dyDescent="0.2">
      <c r="A13" s="6" t="s">
        <v>19</v>
      </c>
      <c r="B13" s="14">
        <v>956091</v>
      </c>
      <c r="C13" s="14">
        <v>973256</v>
      </c>
      <c r="D13" s="14">
        <v>1169801</v>
      </c>
      <c r="E13" s="14">
        <v>1474924</v>
      </c>
      <c r="F13" s="14">
        <v>1309020</v>
      </c>
      <c r="H13" s="24" t="s">
        <v>20</v>
      </c>
      <c r="I13" s="27">
        <v>826055</v>
      </c>
      <c r="J13" s="27">
        <v>889351</v>
      </c>
      <c r="K13" s="27">
        <v>956964</v>
      </c>
      <c r="L13" s="28">
        <v>1080058</v>
      </c>
      <c r="M13" s="2"/>
      <c r="N13" s="2"/>
      <c r="O13" s="71" t="s">
        <v>108</v>
      </c>
      <c r="P13" s="71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52" x14ac:dyDescent="0.2">
      <c r="A14" s="6" t="s">
        <v>21</v>
      </c>
      <c r="B14" s="29">
        <f t="shared" ref="B14:D14" si="1">I55</f>
        <v>-3905925</v>
      </c>
      <c r="C14" s="29">
        <f t="shared" si="1"/>
        <v>-3731913</v>
      </c>
      <c r="D14" s="29">
        <f t="shared" si="1"/>
        <v>-3920084</v>
      </c>
      <c r="E14" s="29">
        <f>L55</f>
        <v>-3665694</v>
      </c>
      <c r="F14" s="29" t="e">
        <f>#REF!</f>
        <v>#REF!</v>
      </c>
      <c r="H14" s="24" t="s">
        <v>22</v>
      </c>
      <c r="I14" s="27">
        <v>1580128</v>
      </c>
      <c r="J14" s="27">
        <v>1561763</v>
      </c>
      <c r="K14" s="27">
        <v>1379362</v>
      </c>
      <c r="L14" s="28">
        <v>1232981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52" x14ac:dyDescent="0.2">
      <c r="A15" s="6" t="s">
        <v>19</v>
      </c>
      <c r="B15" s="14">
        <v>956091</v>
      </c>
      <c r="C15" s="14">
        <v>973256</v>
      </c>
      <c r="D15" s="14">
        <v>1169801</v>
      </c>
      <c r="E15" s="14">
        <v>1474924</v>
      </c>
      <c r="F15" s="14">
        <v>1309020</v>
      </c>
      <c r="H15" s="24" t="s">
        <v>23</v>
      </c>
      <c r="I15" s="27">
        <v>119374</v>
      </c>
      <c r="J15" s="27">
        <v>132480</v>
      </c>
      <c r="K15" s="27">
        <v>140887</v>
      </c>
      <c r="L15" s="28">
        <v>188651</v>
      </c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52" ht="19.5" customHeight="1" x14ac:dyDescent="0.25">
      <c r="A16" s="5" t="s">
        <v>24</v>
      </c>
      <c r="B16" s="19">
        <f>(B13+B14)/B15</f>
        <v>-3.0853067333548796</v>
      </c>
      <c r="C16" s="19">
        <f t="shared" ref="C16:F16" si="2">(C13+C14)/C15</f>
        <v>-2.8344618476536492</v>
      </c>
      <c r="D16" s="19">
        <f t="shared" si="2"/>
        <v>-2.351069113464598</v>
      </c>
      <c r="E16" s="19">
        <f t="shared" si="2"/>
        <v>-1.4853443296061357</v>
      </c>
      <c r="F16" s="19" t="e">
        <f t="shared" si="2"/>
        <v>#REF!</v>
      </c>
      <c r="H16" s="24" t="s">
        <v>25</v>
      </c>
      <c r="I16" s="27">
        <v>15868</v>
      </c>
      <c r="J16" s="27">
        <v>17160</v>
      </c>
      <c r="K16" s="27">
        <v>22259</v>
      </c>
      <c r="L16" s="28">
        <v>21928</v>
      </c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1:27" ht="15.75" x14ac:dyDescent="0.25">
      <c r="A17" s="6" t="s">
        <v>26</v>
      </c>
      <c r="B17" s="29">
        <f t="shared" ref="B17:D17" si="3">I47</f>
        <v>1562916</v>
      </c>
      <c r="C17" s="29">
        <f t="shared" si="3"/>
        <v>1595776</v>
      </c>
      <c r="D17" s="29">
        <f t="shared" si="3"/>
        <v>1818268</v>
      </c>
      <c r="E17" s="29">
        <f>L47</f>
        <v>1914582</v>
      </c>
      <c r="F17" s="29" t="e">
        <f>#REF!</f>
        <v>#REF!</v>
      </c>
      <c r="H17" s="30" t="s">
        <v>27</v>
      </c>
      <c r="I17" s="31">
        <f>SUM(I12:I16)</f>
        <v>2660838</v>
      </c>
      <c r="J17" s="31">
        <f>SUM(J12:J16)</f>
        <v>2690703</v>
      </c>
      <c r="K17" s="31">
        <f>SUM(K12:K16)</f>
        <v>2732794</v>
      </c>
      <c r="L17" s="32">
        <f>SUM(L12:L16)</f>
        <v>2652600</v>
      </c>
      <c r="M17" s="2"/>
      <c r="N17" s="2"/>
      <c r="O17" s="79"/>
      <c r="P17" s="80" t="s">
        <v>3</v>
      </c>
      <c r="Q17" s="80" t="s">
        <v>4</v>
      </c>
      <c r="R17" s="80" t="s">
        <v>5</v>
      </c>
      <c r="S17" s="86" t="s">
        <v>11</v>
      </c>
      <c r="T17" s="2"/>
      <c r="U17" s="2"/>
      <c r="V17" s="2"/>
      <c r="W17" s="2"/>
      <c r="X17" s="2"/>
      <c r="Y17" s="2"/>
      <c r="Z17" s="2"/>
      <c r="AA17" s="2"/>
    </row>
    <row r="18" spans="1:27" x14ac:dyDescent="0.2">
      <c r="A18" s="6"/>
      <c r="B18" s="29"/>
      <c r="C18" s="29"/>
      <c r="D18" s="29"/>
      <c r="E18" s="29"/>
      <c r="F18" s="29"/>
      <c r="H18" s="24" t="s">
        <v>20</v>
      </c>
      <c r="I18" s="27">
        <v>36042</v>
      </c>
      <c r="J18" s="27">
        <v>31311</v>
      </c>
      <c r="K18" s="27">
        <v>47876</v>
      </c>
      <c r="L18" s="28">
        <v>45017</v>
      </c>
      <c r="M18" s="2"/>
      <c r="N18" s="2"/>
      <c r="O18" s="81" t="s">
        <v>39</v>
      </c>
      <c r="P18" s="82">
        <f>I25</f>
        <v>4431107</v>
      </c>
      <c r="Q18" s="82">
        <f t="shared" ref="Q18:S18" si="4">J25</f>
        <v>4519205</v>
      </c>
      <c r="R18" s="82">
        <f t="shared" si="4"/>
        <v>4916617</v>
      </c>
      <c r="S18" s="87">
        <f t="shared" si="4"/>
        <v>4769270</v>
      </c>
      <c r="T18" s="2"/>
      <c r="U18" s="2"/>
      <c r="V18" s="2"/>
      <c r="W18" s="2"/>
      <c r="X18" s="2"/>
      <c r="Y18" s="2"/>
      <c r="Z18" s="2"/>
      <c r="AA18" s="2"/>
    </row>
    <row r="19" spans="1:27" x14ac:dyDescent="0.2">
      <c r="A19" s="6"/>
      <c r="B19" s="29"/>
      <c r="C19" s="29"/>
      <c r="D19" s="29"/>
      <c r="E19" s="29"/>
      <c r="F19" s="29"/>
      <c r="H19" s="24" t="s">
        <v>23</v>
      </c>
      <c r="I19" s="27">
        <v>5874</v>
      </c>
      <c r="J19" s="27">
        <v>4656</v>
      </c>
      <c r="K19" s="27">
        <v>4607</v>
      </c>
      <c r="L19" s="28">
        <v>1798</v>
      </c>
      <c r="M19" s="2"/>
      <c r="N19" s="2"/>
      <c r="O19" s="83" t="s">
        <v>63</v>
      </c>
      <c r="P19" s="82">
        <f>I38</f>
        <v>2868191</v>
      </c>
      <c r="Q19" s="82">
        <f t="shared" ref="Q19:S19" si="5">J38</f>
        <v>2923429</v>
      </c>
      <c r="R19" s="82">
        <f t="shared" si="5"/>
        <v>3098349</v>
      </c>
      <c r="S19" s="87">
        <f t="shared" si="5"/>
        <v>2854688</v>
      </c>
      <c r="T19" s="2"/>
      <c r="U19" s="2"/>
      <c r="V19" s="2"/>
      <c r="W19" s="2"/>
      <c r="X19" s="2"/>
      <c r="Y19" s="2"/>
      <c r="Z19" s="2"/>
      <c r="AA19" s="2"/>
    </row>
    <row r="20" spans="1:27" ht="15.75" x14ac:dyDescent="0.25">
      <c r="A20" s="6" t="s">
        <v>28</v>
      </c>
      <c r="B20" s="19" t="e">
        <f>#REF!/B17</f>
        <v>#REF!</v>
      </c>
      <c r="C20" s="19" t="e">
        <f>#REF!/C17</f>
        <v>#REF!</v>
      </c>
      <c r="D20" s="19" t="e">
        <f>#REF!/D17</f>
        <v>#REF!</v>
      </c>
      <c r="E20" s="19" t="e">
        <f>#REF!/E17</f>
        <v>#REF!</v>
      </c>
      <c r="F20" s="19" t="e">
        <f>#REF!/F17</f>
        <v>#REF!</v>
      </c>
      <c r="H20" s="24" t="s">
        <v>29</v>
      </c>
      <c r="I20" s="27">
        <v>85446</v>
      </c>
      <c r="J20" s="27">
        <v>78045</v>
      </c>
      <c r="K20" s="27">
        <v>93512</v>
      </c>
      <c r="L20" s="28">
        <v>78156</v>
      </c>
      <c r="M20" s="2"/>
      <c r="N20" s="2"/>
      <c r="O20" s="83" t="s">
        <v>79</v>
      </c>
      <c r="P20" s="84">
        <f>I47</f>
        <v>1562916</v>
      </c>
      <c r="Q20" s="84">
        <f t="shared" ref="Q20:S20" si="6">J47</f>
        <v>1595776</v>
      </c>
      <c r="R20" s="85">
        <f t="shared" si="6"/>
        <v>1818268</v>
      </c>
      <c r="S20" s="87">
        <f t="shared" si="6"/>
        <v>1914582</v>
      </c>
      <c r="T20" s="2"/>
      <c r="U20" s="2"/>
      <c r="V20" s="2"/>
      <c r="W20" s="2"/>
      <c r="X20" s="2"/>
      <c r="Y20" s="2"/>
      <c r="Z20" s="2"/>
      <c r="AA20" s="2"/>
    </row>
    <row r="21" spans="1:27" ht="15.75" x14ac:dyDescent="0.25">
      <c r="A21" s="10" t="s">
        <v>30</v>
      </c>
      <c r="B21" s="6"/>
      <c r="C21" s="6"/>
      <c r="D21" s="6"/>
      <c r="E21" s="6"/>
      <c r="F21" s="6"/>
      <c r="H21" s="24" t="s">
        <v>31</v>
      </c>
      <c r="I21" s="27">
        <v>1291336</v>
      </c>
      <c r="J21" s="27">
        <v>1328247</v>
      </c>
      <c r="K21" s="27">
        <v>1593089</v>
      </c>
      <c r="L21" s="28">
        <v>1524896</v>
      </c>
      <c r="M21" s="2"/>
      <c r="N21" s="2"/>
      <c r="O21" s="83" t="s">
        <v>81</v>
      </c>
      <c r="P21" s="85">
        <f>I48</f>
        <v>4431107</v>
      </c>
      <c r="Q21" s="85">
        <f t="shared" ref="Q21:S21" si="7">J48</f>
        <v>4519205</v>
      </c>
      <c r="R21" s="85">
        <f t="shared" si="7"/>
        <v>4916617</v>
      </c>
      <c r="S21" s="87">
        <f t="shared" si="7"/>
        <v>4769270</v>
      </c>
      <c r="T21" s="2"/>
      <c r="U21" s="2"/>
      <c r="V21" s="2"/>
      <c r="W21" s="2"/>
      <c r="X21" s="2"/>
      <c r="Y21" s="2"/>
      <c r="Z21" s="2"/>
      <c r="AA21" s="2"/>
    </row>
    <row r="22" spans="1:27" x14ac:dyDescent="0.2">
      <c r="A22" s="6" t="s">
        <v>32</v>
      </c>
      <c r="B22" s="29">
        <f t="shared" ref="B22:D22" si="8">I25</f>
        <v>4431107</v>
      </c>
      <c r="C22" s="29">
        <f t="shared" si="8"/>
        <v>4519205</v>
      </c>
      <c r="D22" s="29">
        <f t="shared" si="8"/>
        <v>4916617</v>
      </c>
      <c r="E22" s="29">
        <f>L25</f>
        <v>4769270</v>
      </c>
      <c r="F22" s="29" t="e">
        <f>#REF!</f>
        <v>#REF!</v>
      </c>
      <c r="H22" s="24" t="s">
        <v>33</v>
      </c>
      <c r="I22" s="27">
        <v>78031</v>
      </c>
      <c r="J22" s="27">
        <v>78954</v>
      </c>
      <c r="K22" s="27">
        <v>86083</v>
      </c>
      <c r="L22" s="28">
        <v>81020</v>
      </c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x14ac:dyDescent="0.2">
      <c r="A23" s="6" t="s">
        <v>34</v>
      </c>
      <c r="B23" s="29">
        <v>30209</v>
      </c>
      <c r="C23" s="29">
        <v>43806</v>
      </c>
      <c r="D23" s="29">
        <v>107763</v>
      </c>
      <c r="E23" s="29">
        <v>132184</v>
      </c>
      <c r="F23" s="29">
        <v>114902</v>
      </c>
      <c r="H23" s="24" t="s">
        <v>35</v>
      </c>
      <c r="I23" s="27">
        <v>273540</v>
      </c>
      <c r="J23" s="27">
        <v>307289</v>
      </c>
      <c r="K23" s="27">
        <v>358656</v>
      </c>
      <c r="L23" s="28">
        <v>385783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5.75" x14ac:dyDescent="0.2">
      <c r="A24" s="6" t="s">
        <v>36</v>
      </c>
      <c r="B24" s="29">
        <f>B22</f>
        <v>4431107</v>
      </c>
      <c r="C24" s="29">
        <f>C22</f>
        <v>4519205</v>
      </c>
      <c r="D24" s="29">
        <f>D22</f>
        <v>4916617</v>
      </c>
      <c r="E24" s="29">
        <f>E22</f>
        <v>4769270</v>
      </c>
      <c r="F24" s="29" t="e">
        <f>F22</f>
        <v>#REF!</v>
      </c>
      <c r="H24" s="33" t="s">
        <v>37</v>
      </c>
      <c r="I24" s="31">
        <f>SUM(I18:I23)</f>
        <v>1770269</v>
      </c>
      <c r="J24" s="31">
        <f>SUM(J18:J23)</f>
        <v>1828502</v>
      </c>
      <c r="K24" s="31">
        <f>SUM(K18:K23)</f>
        <v>2183823</v>
      </c>
      <c r="L24" s="32">
        <f>SUM(L18:L23)</f>
        <v>2116670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5.75" x14ac:dyDescent="0.2">
      <c r="A25" s="6" t="s">
        <v>38</v>
      </c>
      <c r="B25" s="29">
        <f t="shared" ref="B25:D25" si="9">I23</f>
        <v>273540</v>
      </c>
      <c r="C25" s="29">
        <f t="shared" si="9"/>
        <v>307289</v>
      </c>
      <c r="D25" s="29">
        <f t="shared" si="9"/>
        <v>358656</v>
      </c>
      <c r="E25" s="29">
        <f>L23</f>
        <v>385783</v>
      </c>
      <c r="F25" s="29" t="e">
        <f>#REF!</f>
        <v>#REF!</v>
      </c>
      <c r="H25" s="33" t="s">
        <v>39</v>
      </c>
      <c r="I25" s="31">
        <f>+I24+I17</f>
        <v>4431107</v>
      </c>
      <c r="J25" s="31">
        <f>+J24+J17</f>
        <v>4519205</v>
      </c>
      <c r="K25" s="31">
        <f>+K24+K17</f>
        <v>4916617</v>
      </c>
      <c r="L25" s="32">
        <f>+L24+L17</f>
        <v>4769270</v>
      </c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5.75" x14ac:dyDescent="0.25">
      <c r="A26" s="6" t="s">
        <v>40</v>
      </c>
      <c r="B26" s="19" t="e">
        <f>(B23*(1-#REF!))/(B24-B25)</f>
        <v>#REF!</v>
      </c>
      <c r="C26" s="19" t="e">
        <f>(C23*(1-#REF!))/(C24-C25)</f>
        <v>#REF!</v>
      </c>
      <c r="D26" s="19" t="e">
        <f>(D23*(1-#REF!))/(D24-D25)</f>
        <v>#REF!</v>
      </c>
      <c r="E26" s="19" t="e">
        <f>(E23*(1-#REF!))/(E24-E25)</f>
        <v>#REF!</v>
      </c>
      <c r="F26" s="19" t="e">
        <f>(F23*(1-#REF!))/(F24-F25)</f>
        <v>#REF!</v>
      </c>
      <c r="H26" s="15" t="s">
        <v>41</v>
      </c>
      <c r="I26" s="34"/>
      <c r="J26" s="34"/>
      <c r="K26" s="34"/>
      <c r="L26" s="35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5.75" x14ac:dyDescent="0.25">
      <c r="A27" s="36"/>
      <c r="B27" s="6"/>
      <c r="C27" s="6"/>
      <c r="D27" s="6"/>
      <c r="E27" s="6"/>
      <c r="F27" s="6"/>
      <c r="H27" s="37" t="s">
        <v>42</v>
      </c>
      <c r="I27" s="38"/>
      <c r="J27" s="38"/>
      <c r="K27" s="38"/>
      <c r="L27" s="39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5.75" x14ac:dyDescent="0.25">
      <c r="A28" s="9" t="s">
        <v>43</v>
      </c>
      <c r="B28" s="6"/>
      <c r="C28" s="6"/>
      <c r="D28" s="6"/>
      <c r="E28" s="6"/>
      <c r="F28" s="6"/>
      <c r="H28" s="24" t="s">
        <v>44</v>
      </c>
      <c r="I28" s="27">
        <v>443620</v>
      </c>
      <c r="J28" s="27">
        <v>277578</v>
      </c>
      <c r="K28" s="27">
        <v>221370</v>
      </c>
      <c r="L28" s="28">
        <v>527403</v>
      </c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5.75" x14ac:dyDescent="0.25">
      <c r="A29" s="40" t="s">
        <v>45</v>
      </c>
      <c r="B29" s="6"/>
      <c r="C29" s="6"/>
      <c r="D29" s="6"/>
      <c r="E29" s="6"/>
      <c r="F29" s="6"/>
      <c r="H29" s="24" t="s">
        <v>46</v>
      </c>
      <c r="I29" s="27">
        <v>406383</v>
      </c>
      <c r="J29" s="27">
        <v>459886</v>
      </c>
      <c r="K29" s="27">
        <v>459976</v>
      </c>
      <c r="L29" s="28">
        <v>507286</v>
      </c>
      <c r="M29" s="2"/>
      <c r="N29" s="4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x14ac:dyDescent="0.2">
      <c r="A30" s="6" t="s">
        <v>47</v>
      </c>
      <c r="B30" s="29">
        <f>I17</f>
        <v>2660838</v>
      </c>
      <c r="C30" s="29">
        <f>J17</f>
        <v>2690703</v>
      </c>
      <c r="D30" s="29">
        <f>K17</f>
        <v>2732794</v>
      </c>
      <c r="E30" s="29">
        <f>L17</f>
        <v>2652600</v>
      </c>
      <c r="F30" s="29" t="e">
        <f>#REF!</f>
        <v>#REF!</v>
      </c>
      <c r="H30" s="24" t="s">
        <v>48</v>
      </c>
      <c r="I30" s="27">
        <v>113812</v>
      </c>
      <c r="J30" s="27">
        <v>158402</v>
      </c>
      <c r="K30" s="27">
        <v>102284</v>
      </c>
      <c r="L30" s="28">
        <v>59112</v>
      </c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5.75" x14ac:dyDescent="0.25">
      <c r="A31" s="6" t="s">
        <v>49</v>
      </c>
      <c r="B31" s="42" t="e">
        <f>B30/#REF!</f>
        <v>#REF!</v>
      </c>
      <c r="C31" s="42" t="e">
        <f>C30/#REF!</f>
        <v>#REF!</v>
      </c>
      <c r="D31" s="42" t="e">
        <f>D30/#REF!</f>
        <v>#REF!</v>
      </c>
      <c r="E31" s="42" t="e">
        <f>E30/#REF!</f>
        <v>#REF!</v>
      </c>
      <c r="F31" s="42" t="e">
        <f>F30/#REF!</f>
        <v>#REF!</v>
      </c>
      <c r="H31" s="24" t="s">
        <v>50</v>
      </c>
      <c r="I31" s="27">
        <v>323985</v>
      </c>
      <c r="J31" s="27">
        <v>319565</v>
      </c>
      <c r="K31" s="27">
        <v>392286</v>
      </c>
      <c r="L31" s="28">
        <v>374262</v>
      </c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5.75" x14ac:dyDescent="0.25">
      <c r="A32" s="40" t="s">
        <v>51</v>
      </c>
      <c r="B32" s="6"/>
      <c r="C32" s="6"/>
      <c r="D32" s="6"/>
      <c r="E32" s="6"/>
      <c r="F32" s="6"/>
      <c r="H32" s="24" t="s">
        <v>52</v>
      </c>
      <c r="I32" s="27">
        <v>176775</v>
      </c>
      <c r="J32" s="27">
        <v>226372</v>
      </c>
      <c r="K32" s="27">
        <v>304246</v>
      </c>
      <c r="L32" s="28">
        <v>208112</v>
      </c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5.75" x14ac:dyDescent="0.2">
      <c r="A33" s="6" t="s">
        <v>53</v>
      </c>
      <c r="B33" s="43" t="e">
        <f>#REF!+I15</f>
        <v>#REF!</v>
      </c>
      <c r="C33" s="43" t="e">
        <f>#REF!+J15</f>
        <v>#REF!</v>
      </c>
      <c r="D33" s="43" t="e">
        <f>#REF!+K15</f>
        <v>#REF!</v>
      </c>
      <c r="E33" s="43" t="e">
        <f>#REF!+L15</f>
        <v>#REF!</v>
      </c>
      <c r="F33" s="43" t="e">
        <f>#REF!+#REF!</f>
        <v>#REF!</v>
      </c>
      <c r="H33" s="33" t="s">
        <v>54</v>
      </c>
      <c r="I33" s="31">
        <f>SUM(I28:I32)</f>
        <v>1464575</v>
      </c>
      <c r="J33" s="31">
        <f>SUM(J28:J32)</f>
        <v>1441803</v>
      </c>
      <c r="K33" s="31">
        <f>SUM(K28:K32)</f>
        <v>1480162</v>
      </c>
      <c r="L33" s="32">
        <f>SUM(L28:L32)</f>
        <v>1676175</v>
      </c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5.75" x14ac:dyDescent="0.25">
      <c r="A34" s="6" t="s">
        <v>55</v>
      </c>
      <c r="B34" s="42" t="e">
        <f>(#REF!+B33)/#REF!</f>
        <v>#REF!</v>
      </c>
      <c r="C34" s="42" t="e">
        <f>(#REF!+C33)/#REF!</f>
        <v>#REF!</v>
      </c>
      <c r="D34" s="42" t="e">
        <f>(#REF!+D33)/#REF!</f>
        <v>#REF!</v>
      </c>
      <c r="E34" s="42" t="e">
        <f>(#REF!+E33)/#REF!</f>
        <v>#REF!</v>
      </c>
      <c r="F34" s="42" t="e">
        <f>(#REF!+F33)/#REF!</f>
        <v>#REF!</v>
      </c>
      <c r="H34" s="24" t="s">
        <v>56</v>
      </c>
      <c r="I34" s="27">
        <v>1240311</v>
      </c>
      <c r="J34" s="27">
        <v>1341022</v>
      </c>
      <c r="K34" s="27">
        <v>1410147</v>
      </c>
      <c r="L34" s="28">
        <v>955988</v>
      </c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x14ac:dyDescent="0.2">
      <c r="A35" s="6"/>
      <c r="B35" s="6"/>
      <c r="C35" s="6"/>
      <c r="D35" s="6"/>
      <c r="E35" s="6"/>
      <c r="F35" s="6"/>
      <c r="H35" s="24" t="s">
        <v>57</v>
      </c>
      <c r="I35" s="27">
        <v>159924</v>
      </c>
      <c r="J35" s="27">
        <v>139823</v>
      </c>
      <c r="K35" s="27">
        <v>207321</v>
      </c>
      <c r="L35" s="28">
        <v>218296</v>
      </c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5.75" x14ac:dyDescent="0.25">
      <c r="A36" s="9" t="s">
        <v>58</v>
      </c>
      <c r="B36" s="6"/>
      <c r="C36" s="6"/>
      <c r="D36" s="6"/>
      <c r="E36" s="6"/>
      <c r="F36" s="6"/>
      <c r="H36" s="44" t="s">
        <v>59</v>
      </c>
      <c r="I36" s="27">
        <v>3381</v>
      </c>
      <c r="J36" s="27">
        <v>781</v>
      </c>
      <c r="K36" s="27">
        <v>719</v>
      </c>
      <c r="L36" s="28">
        <v>4229</v>
      </c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5.75" x14ac:dyDescent="0.25">
      <c r="A37" s="10" t="s">
        <v>60</v>
      </c>
      <c r="B37" s="6"/>
      <c r="C37" s="6"/>
      <c r="D37" s="6"/>
      <c r="E37" s="6"/>
      <c r="F37" s="6"/>
      <c r="H37" s="33" t="s">
        <v>61</v>
      </c>
      <c r="I37" s="45">
        <f>SUM(I34:I36)</f>
        <v>1403616</v>
      </c>
      <c r="J37" s="31">
        <f>SUM(J34:J36)</f>
        <v>1481626</v>
      </c>
      <c r="K37" s="31">
        <f>SUM(K34:K36)</f>
        <v>1618187</v>
      </c>
      <c r="L37" s="32">
        <f>SUM(L34:L36)</f>
        <v>1178513</v>
      </c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5.75" x14ac:dyDescent="0.2">
      <c r="A38" s="6" t="s">
        <v>62</v>
      </c>
      <c r="B38" s="29">
        <f>I13+I14+I15</f>
        <v>2525557</v>
      </c>
      <c r="C38" s="29">
        <f>J13+J14+J15</f>
        <v>2583594</v>
      </c>
      <c r="D38" s="29">
        <f>K13+K14+K15</f>
        <v>2477213</v>
      </c>
      <c r="E38" s="29">
        <f>L13+L14+L15</f>
        <v>2501690</v>
      </c>
      <c r="F38" s="29" t="e">
        <f>#REF!+#REF!+#REF!</f>
        <v>#REF!</v>
      </c>
      <c r="H38" s="33" t="s">
        <v>63</v>
      </c>
      <c r="I38" s="45">
        <f>+I37+I33</f>
        <v>2868191</v>
      </c>
      <c r="J38" s="31">
        <f>+J37+J33</f>
        <v>2923429</v>
      </c>
      <c r="K38" s="31">
        <f>+K37+K33</f>
        <v>3098349</v>
      </c>
      <c r="L38" s="32">
        <f>+L37+L33</f>
        <v>2854688</v>
      </c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x14ac:dyDescent="0.2">
      <c r="A39" s="6" t="s">
        <v>64</v>
      </c>
      <c r="B39" s="29">
        <f>I54</f>
        <v>5013949</v>
      </c>
      <c r="C39" s="29">
        <f>J54</f>
        <v>4849333</v>
      </c>
      <c r="D39" s="29">
        <f>K54</f>
        <v>5212223</v>
      </c>
      <c r="E39" s="29">
        <f>L54</f>
        <v>4846557</v>
      </c>
      <c r="F39" s="29" t="e">
        <f>#REF!</f>
        <v>#REF!</v>
      </c>
      <c r="H39" s="46" t="s">
        <v>65</v>
      </c>
      <c r="I39" s="27">
        <v>945227</v>
      </c>
      <c r="J39" s="27">
        <v>1014326</v>
      </c>
      <c r="K39" s="27">
        <v>1014326</v>
      </c>
      <c r="L39" s="28">
        <v>1014326</v>
      </c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5.75" x14ac:dyDescent="0.25">
      <c r="A40" s="6" t="s">
        <v>60</v>
      </c>
      <c r="B40" s="42">
        <f>B38/B39</f>
        <v>0.50370616055328843</v>
      </c>
      <c r="C40" s="42">
        <f t="shared" ref="C40:F40" si="10">C38/C39</f>
        <v>0.53277306384197576</v>
      </c>
      <c r="D40" s="42">
        <f t="shared" si="10"/>
        <v>0.47526995679194844</v>
      </c>
      <c r="E40" s="42">
        <f t="shared" si="10"/>
        <v>0.51617880487116941</v>
      </c>
      <c r="F40" s="42" t="e">
        <f t="shared" si="10"/>
        <v>#REF!</v>
      </c>
      <c r="H40" s="24" t="s">
        <v>66</v>
      </c>
      <c r="I40" s="27">
        <v>105366</v>
      </c>
      <c r="J40" s="27">
        <v>73536</v>
      </c>
      <c r="K40" s="27">
        <v>65418</v>
      </c>
      <c r="L40" s="28">
        <v>50345</v>
      </c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5.75" x14ac:dyDescent="0.25">
      <c r="A41" s="10" t="s">
        <v>67</v>
      </c>
      <c r="B41" s="6"/>
      <c r="C41" s="6"/>
      <c r="D41" s="6"/>
      <c r="E41" s="6"/>
      <c r="F41" s="6"/>
      <c r="H41" s="24" t="s">
        <v>68</v>
      </c>
      <c r="I41" s="27">
        <v>0</v>
      </c>
      <c r="J41" s="27">
        <v>0</v>
      </c>
      <c r="K41" s="27">
        <v>-27048</v>
      </c>
      <c r="L41" s="28">
        <v>-50208</v>
      </c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x14ac:dyDescent="0.2">
      <c r="A42" s="6" t="s">
        <v>21</v>
      </c>
      <c r="B42" s="29">
        <f>I55</f>
        <v>-3905925</v>
      </c>
      <c r="C42" s="29">
        <f>J55</f>
        <v>-3731913</v>
      </c>
      <c r="D42" s="29">
        <f>K55</f>
        <v>-3920084</v>
      </c>
      <c r="E42" s="29">
        <f>L55</f>
        <v>-3665694</v>
      </c>
      <c r="F42" s="29" t="e">
        <f>#REF!</f>
        <v>#REF!</v>
      </c>
      <c r="H42" s="24" t="s">
        <v>69</v>
      </c>
      <c r="I42" s="27">
        <v>203653</v>
      </c>
      <c r="J42" s="27">
        <v>245802</v>
      </c>
      <c r="K42" s="27">
        <v>374464</v>
      </c>
      <c r="L42" s="28">
        <v>345113</v>
      </c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x14ac:dyDescent="0.2">
      <c r="A43" s="6" t="s">
        <v>70</v>
      </c>
      <c r="B43" s="29">
        <f>I16</f>
        <v>15868</v>
      </c>
      <c r="C43" s="29">
        <f>J16</f>
        <v>17160</v>
      </c>
      <c r="D43" s="29">
        <f>K16</f>
        <v>22259</v>
      </c>
      <c r="E43" s="29">
        <f>L16</f>
        <v>21928</v>
      </c>
      <c r="F43" s="29" t="e">
        <f>#REF!</f>
        <v>#REF!</v>
      </c>
      <c r="H43" s="24" t="s">
        <v>71</v>
      </c>
      <c r="I43" s="27">
        <v>99766</v>
      </c>
      <c r="J43" s="27">
        <v>110099</v>
      </c>
      <c r="K43" s="27">
        <v>123207</v>
      </c>
      <c r="L43" s="28">
        <v>139384</v>
      </c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5.75" x14ac:dyDescent="0.25">
      <c r="A44" s="6" t="s">
        <v>72</v>
      </c>
      <c r="B44" s="42">
        <f>B42/B43</f>
        <v>-246.15105873456011</v>
      </c>
      <c r="C44" s="42">
        <f t="shared" ref="C44:F44" si="11">C42/C43</f>
        <v>-217.47744755244756</v>
      </c>
      <c r="D44" s="42">
        <f t="shared" si="11"/>
        <v>-176.11231412013117</v>
      </c>
      <c r="E44" s="42">
        <f t="shared" si="11"/>
        <v>-167.16955490696827</v>
      </c>
      <c r="F44" s="42" t="e">
        <f t="shared" si="11"/>
        <v>#REF!</v>
      </c>
      <c r="H44" s="24" t="s">
        <v>73</v>
      </c>
      <c r="I44" s="27">
        <v>100652</v>
      </c>
      <c r="J44" s="27">
        <v>39119</v>
      </c>
      <c r="K44" s="27">
        <v>57113</v>
      </c>
      <c r="L44" s="28">
        <v>140605</v>
      </c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5.75" x14ac:dyDescent="0.25">
      <c r="A45" s="10" t="s">
        <v>74</v>
      </c>
      <c r="B45" s="6"/>
      <c r="C45" s="6"/>
      <c r="D45" s="6"/>
      <c r="E45" s="6"/>
      <c r="F45" s="6"/>
      <c r="H45" s="24" t="s">
        <v>75</v>
      </c>
      <c r="I45" s="27">
        <v>100025</v>
      </c>
      <c r="J45" s="27">
        <v>91981</v>
      </c>
      <c r="K45" s="27">
        <v>161766</v>
      </c>
      <c r="L45" s="28">
        <v>230435</v>
      </c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x14ac:dyDescent="0.2">
      <c r="A46" s="6" t="s">
        <v>76</v>
      </c>
      <c r="B46" s="29">
        <f t="shared" ref="B46:F46" si="12">B43</f>
        <v>15868</v>
      </c>
      <c r="C46" s="29">
        <f t="shared" si="12"/>
        <v>17160</v>
      </c>
      <c r="D46" s="29">
        <f t="shared" si="12"/>
        <v>22259</v>
      </c>
      <c r="E46" s="29">
        <f t="shared" si="12"/>
        <v>21928</v>
      </c>
      <c r="F46" s="29" t="e">
        <f t="shared" si="12"/>
        <v>#REF!</v>
      </c>
      <c r="H46" s="44" t="s">
        <v>77</v>
      </c>
      <c r="I46" s="27">
        <v>8227</v>
      </c>
      <c r="J46" s="27">
        <v>20913</v>
      </c>
      <c r="K46" s="27">
        <v>49022</v>
      </c>
      <c r="L46" s="28">
        <v>44582</v>
      </c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5.75" x14ac:dyDescent="0.2">
      <c r="A47" s="6" t="s">
        <v>78</v>
      </c>
      <c r="B47" s="29" t="e">
        <f>I29+#REF!</f>
        <v>#REF!</v>
      </c>
      <c r="C47" s="29" t="e">
        <f>J29+#REF!</f>
        <v>#REF!</v>
      </c>
      <c r="D47" s="29" t="e">
        <f>K29+#REF!</f>
        <v>#REF!</v>
      </c>
      <c r="E47" s="29" t="e">
        <f>L29+#REF!</f>
        <v>#REF!</v>
      </c>
      <c r="F47" s="29" t="e">
        <f>#REF!+#REF!</f>
        <v>#REF!</v>
      </c>
      <c r="H47" s="33" t="s">
        <v>79</v>
      </c>
      <c r="I47" s="31">
        <f>SUM(I39:I46)</f>
        <v>1562916</v>
      </c>
      <c r="J47" s="31">
        <f>SUM(J39:J46)</f>
        <v>1595776</v>
      </c>
      <c r="K47" s="31">
        <f>SUM(K39:K46)</f>
        <v>1818268</v>
      </c>
      <c r="L47" s="32">
        <f>SUM(L39:L46)</f>
        <v>1914582</v>
      </c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6.5" thickBot="1" x14ac:dyDescent="0.3">
      <c r="A48" s="6" t="s">
        <v>80</v>
      </c>
      <c r="B48" s="42" t="e">
        <f>B46/B47</f>
        <v>#REF!</v>
      </c>
      <c r="C48" s="42" t="e">
        <f t="shared" ref="C48:F48" si="13">C46/C47</f>
        <v>#REF!</v>
      </c>
      <c r="D48" s="42" t="e">
        <f t="shared" si="13"/>
        <v>#REF!</v>
      </c>
      <c r="E48" s="42" t="e">
        <f t="shared" si="13"/>
        <v>#REF!</v>
      </c>
      <c r="F48" s="42" t="e">
        <f t="shared" si="13"/>
        <v>#REF!</v>
      </c>
      <c r="H48" s="47" t="s">
        <v>81</v>
      </c>
      <c r="I48" s="48">
        <f>+I47+I38</f>
        <v>4431107</v>
      </c>
      <c r="J48" s="48">
        <f>+J47+J38</f>
        <v>4519205</v>
      </c>
      <c r="K48" s="48">
        <f>+K47+K38</f>
        <v>4916617</v>
      </c>
      <c r="L48" s="49">
        <f>+L47+L38</f>
        <v>4769270</v>
      </c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5.75" x14ac:dyDescent="0.25">
      <c r="A49" s="10" t="s">
        <v>82</v>
      </c>
      <c r="B49" s="6"/>
      <c r="C49" s="6"/>
      <c r="D49" s="6"/>
      <c r="E49" s="6"/>
      <c r="F49" s="6"/>
      <c r="H49" s="50"/>
      <c r="I49" s="51"/>
      <c r="J49" s="51"/>
      <c r="K49" s="51"/>
      <c r="L49" s="5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15.75" x14ac:dyDescent="0.25">
      <c r="A50" s="6" t="s">
        <v>60</v>
      </c>
      <c r="B50" s="53">
        <f t="shared" ref="B50:F50" si="14">B40</f>
        <v>0.50370616055328843</v>
      </c>
      <c r="C50" s="53">
        <f t="shared" si="14"/>
        <v>0.53277306384197576</v>
      </c>
      <c r="D50" s="53">
        <f t="shared" si="14"/>
        <v>0.47526995679194844</v>
      </c>
      <c r="E50" s="53">
        <f t="shared" si="14"/>
        <v>0.51617880487116941</v>
      </c>
      <c r="F50" s="53" t="e">
        <f t="shared" si="14"/>
        <v>#REF!</v>
      </c>
      <c r="H50" s="54" t="s">
        <v>6</v>
      </c>
      <c r="I50" s="51"/>
      <c r="J50" s="51"/>
      <c r="K50" s="51"/>
      <c r="L50" s="5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ht="15.75" x14ac:dyDescent="0.25">
      <c r="A51" s="6" t="s">
        <v>82</v>
      </c>
      <c r="B51" s="55">
        <f>B50/365</f>
        <v>1.3800168782281874E-3</v>
      </c>
      <c r="C51" s="55">
        <f t="shared" ref="C51:F51" si="15">C50/365</f>
        <v>1.4596522297040432E-3</v>
      </c>
      <c r="D51" s="55">
        <f t="shared" si="15"/>
        <v>1.3021094706628725E-3</v>
      </c>
      <c r="E51" s="55">
        <f t="shared" si="15"/>
        <v>1.4141885064963544E-3</v>
      </c>
      <c r="F51" s="55" t="e">
        <f t="shared" si="15"/>
        <v>#REF!</v>
      </c>
      <c r="H51" s="56" t="s">
        <v>83</v>
      </c>
      <c r="I51" s="51"/>
      <c r="J51" s="51"/>
      <c r="K51" s="51"/>
      <c r="L51" s="5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ht="18" thickBot="1" x14ac:dyDescent="0.35">
      <c r="A52" s="10" t="s">
        <v>82</v>
      </c>
      <c r="B52" s="6"/>
      <c r="C52" s="6"/>
      <c r="D52" s="6"/>
      <c r="E52" s="6"/>
      <c r="F52" s="6"/>
      <c r="H52" s="57" t="s">
        <v>9</v>
      </c>
      <c r="I52" s="51"/>
      <c r="J52" s="51"/>
      <c r="K52" s="51"/>
      <c r="L52" s="58"/>
      <c r="M52" s="2"/>
      <c r="N52" s="2"/>
      <c r="O52" s="88"/>
      <c r="P52" s="89" t="s">
        <v>3</v>
      </c>
      <c r="Q52" s="89" t="s">
        <v>4</v>
      </c>
      <c r="R52" s="89" t="s">
        <v>5</v>
      </c>
      <c r="S52" s="89" t="s">
        <v>11</v>
      </c>
      <c r="T52" s="2"/>
      <c r="U52" s="2"/>
      <c r="V52" s="2"/>
      <c r="W52" s="2"/>
      <c r="X52" s="2"/>
      <c r="Y52" s="2"/>
      <c r="Z52" s="2"/>
      <c r="AA52" s="2"/>
    </row>
    <row r="53" spans="1:27" ht="15.75" x14ac:dyDescent="0.2">
      <c r="A53" s="6" t="s">
        <v>74</v>
      </c>
      <c r="B53" s="53" t="e">
        <f t="shared" ref="B53:F53" si="16">B48</f>
        <v>#REF!</v>
      </c>
      <c r="C53" s="53" t="e">
        <f t="shared" si="16"/>
        <v>#REF!</v>
      </c>
      <c r="D53" s="53" t="e">
        <f t="shared" si="16"/>
        <v>#REF!</v>
      </c>
      <c r="E53" s="53" t="e">
        <f t="shared" si="16"/>
        <v>#REF!</v>
      </c>
      <c r="F53" s="53" t="e">
        <f t="shared" si="16"/>
        <v>#REF!</v>
      </c>
      <c r="H53" s="11"/>
      <c r="I53" s="59" t="s">
        <v>3</v>
      </c>
      <c r="J53" s="59" t="s">
        <v>4</v>
      </c>
      <c r="K53" s="59" t="s">
        <v>5</v>
      </c>
      <c r="L53" s="60" t="s">
        <v>11</v>
      </c>
      <c r="M53" s="2"/>
      <c r="N53" s="2"/>
      <c r="O53" s="90" t="s">
        <v>84</v>
      </c>
      <c r="P53" s="87">
        <f>I54</f>
        <v>5013949</v>
      </c>
      <c r="Q53" s="87">
        <f t="shared" ref="Q53:S53" si="17">J54</f>
        <v>4849333</v>
      </c>
      <c r="R53" s="87">
        <f t="shared" si="17"/>
        <v>5212223</v>
      </c>
      <c r="S53" s="87">
        <f t="shared" si="17"/>
        <v>4846557</v>
      </c>
      <c r="T53" s="2"/>
      <c r="U53" s="2"/>
      <c r="V53" s="2"/>
      <c r="W53" s="2"/>
      <c r="X53" s="2"/>
      <c r="Y53" s="2"/>
      <c r="Z53" s="2"/>
      <c r="AA53" s="2"/>
    </row>
    <row r="54" spans="1:27" ht="15.75" x14ac:dyDescent="0.25">
      <c r="A54" s="6"/>
      <c r="B54" s="42" t="e">
        <f>365/B53</f>
        <v>#REF!</v>
      </c>
      <c r="C54" s="42" t="e">
        <f t="shared" ref="C54:F54" si="18">365/C53</f>
        <v>#REF!</v>
      </c>
      <c r="D54" s="42" t="e">
        <f t="shared" si="18"/>
        <v>#REF!</v>
      </c>
      <c r="E54" s="42" t="e">
        <f t="shared" si="18"/>
        <v>#REF!</v>
      </c>
      <c r="F54" s="42" t="e">
        <f t="shared" si="18"/>
        <v>#REF!</v>
      </c>
      <c r="H54" s="61" t="s">
        <v>84</v>
      </c>
      <c r="I54" s="62">
        <v>5013949</v>
      </c>
      <c r="J54" s="27">
        <v>4849333</v>
      </c>
      <c r="K54" s="27">
        <v>5212223</v>
      </c>
      <c r="L54" s="28">
        <v>4846557</v>
      </c>
      <c r="M54" s="2"/>
      <c r="N54" s="2"/>
      <c r="O54" s="90" t="s">
        <v>117</v>
      </c>
      <c r="P54" s="87">
        <f>I55+I57+I58+I59</f>
        <v>-4623360</v>
      </c>
      <c r="Q54" s="87">
        <f t="shared" ref="Q54:S54" si="19">J55+J57+J58+J59</f>
        <v>-4511768</v>
      </c>
      <c r="R54" s="87">
        <f t="shared" si="19"/>
        <v>-4721733</v>
      </c>
      <c r="S54" s="87">
        <f t="shared" si="19"/>
        <v>-4421324</v>
      </c>
      <c r="T54" s="2"/>
      <c r="U54" s="2"/>
      <c r="V54" s="2"/>
      <c r="W54" s="2"/>
      <c r="X54" s="2"/>
      <c r="Y54" s="2"/>
      <c r="Z54" s="2"/>
      <c r="AA54" s="2"/>
    </row>
    <row r="55" spans="1:27" x14ac:dyDescent="0.2">
      <c r="A55" s="6" t="s">
        <v>13</v>
      </c>
      <c r="B55" s="29">
        <f>B39</f>
        <v>5013949</v>
      </c>
      <c r="C55" s="29">
        <f>C39</f>
        <v>4849333</v>
      </c>
      <c r="D55" s="29">
        <f>D39</f>
        <v>5212223</v>
      </c>
      <c r="E55" s="29">
        <f>E39</f>
        <v>4846557</v>
      </c>
      <c r="F55" s="29" t="e">
        <f>F39</f>
        <v>#REF!</v>
      </c>
      <c r="H55" s="61" t="s">
        <v>21</v>
      </c>
      <c r="I55" s="62">
        <v>-3905925</v>
      </c>
      <c r="J55" s="27">
        <v>-3731913</v>
      </c>
      <c r="K55" s="27">
        <v>-3920084</v>
      </c>
      <c r="L55" s="28">
        <v>-3665694</v>
      </c>
      <c r="M55" s="2"/>
      <c r="N55" s="2"/>
      <c r="O55" s="90" t="s">
        <v>118</v>
      </c>
      <c r="P55" s="87">
        <f>P53+P54</f>
        <v>390589</v>
      </c>
      <c r="Q55" s="87">
        <f>Q53+Q54</f>
        <v>337565</v>
      </c>
      <c r="R55" s="87">
        <f>R53+R54</f>
        <v>490490</v>
      </c>
      <c r="S55" s="87">
        <f t="shared" ref="S55" si="20">S53+S54</f>
        <v>425233</v>
      </c>
      <c r="T55" s="2"/>
      <c r="U55" s="2"/>
      <c r="V55" s="2"/>
      <c r="W55" s="2"/>
      <c r="X55" s="2"/>
      <c r="Y55" s="2"/>
      <c r="Z55" s="2"/>
      <c r="AA55" s="2"/>
    </row>
    <row r="56" spans="1:27" ht="15.75" x14ac:dyDescent="0.2">
      <c r="A56" s="6" t="s">
        <v>85</v>
      </c>
      <c r="B56" s="29">
        <f>I25</f>
        <v>4431107</v>
      </c>
      <c r="C56" s="29">
        <f>J25</f>
        <v>4519205</v>
      </c>
      <c r="D56" s="29">
        <f>K25</f>
        <v>4916617</v>
      </c>
      <c r="E56" s="29">
        <f>L25</f>
        <v>4769270</v>
      </c>
      <c r="F56" s="29" t="e">
        <f>#REF!</f>
        <v>#REF!</v>
      </c>
      <c r="H56" s="63" t="s">
        <v>86</v>
      </c>
      <c r="I56" s="64">
        <f>+I55+I54</f>
        <v>1108024</v>
      </c>
      <c r="J56" s="64">
        <f>+J55+J54</f>
        <v>1117420</v>
      </c>
      <c r="K56" s="64">
        <f>+K55+K54</f>
        <v>1292139</v>
      </c>
      <c r="L56" s="32">
        <f>+L55+L54</f>
        <v>1180863</v>
      </c>
      <c r="M56" s="2"/>
      <c r="N56" s="2"/>
      <c r="O56" s="90" t="s">
        <v>119</v>
      </c>
      <c r="P56" s="87">
        <f>I61+I62+I63+I64</f>
        <v>-225090</v>
      </c>
      <c r="Q56" s="87">
        <f t="shared" ref="Q56:S56" si="21">J61+J62+J63+J64</f>
        <v>-170542</v>
      </c>
      <c r="R56" s="87">
        <f t="shared" si="21"/>
        <v>-230976</v>
      </c>
      <c r="S56" s="87">
        <f t="shared" si="21"/>
        <v>-90882</v>
      </c>
      <c r="T56" s="2"/>
      <c r="U56" s="2"/>
      <c r="V56" s="2"/>
      <c r="W56" s="2"/>
      <c r="X56" s="2"/>
      <c r="Y56" s="2"/>
      <c r="Z56" s="2"/>
      <c r="AA56" s="2"/>
    </row>
    <row r="57" spans="1:27" x14ac:dyDescent="0.2">
      <c r="A57" s="6" t="s">
        <v>13</v>
      </c>
      <c r="B57" s="29">
        <f>I54</f>
        <v>5013949</v>
      </c>
      <c r="C57" s="29">
        <f>J54</f>
        <v>4849333</v>
      </c>
      <c r="D57" s="29">
        <f>K54</f>
        <v>5212223</v>
      </c>
      <c r="E57" s="29">
        <f>L54</f>
        <v>4846557</v>
      </c>
      <c r="F57" s="29" t="e">
        <f>#REF!</f>
        <v>#REF!</v>
      </c>
      <c r="H57" s="46" t="s">
        <v>87</v>
      </c>
      <c r="I57" s="27">
        <v>-189472</v>
      </c>
      <c r="J57" s="27">
        <v>-221685</v>
      </c>
      <c r="K57" s="27">
        <v>-243752</v>
      </c>
      <c r="L57" s="28">
        <v>-258707</v>
      </c>
      <c r="M57" s="2"/>
      <c r="N57" s="2"/>
      <c r="O57" s="90" t="s">
        <v>120</v>
      </c>
      <c r="P57" s="87">
        <f>P55+P56</f>
        <v>165499</v>
      </c>
      <c r="Q57" s="87">
        <f t="shared" ref="Q57:S57" si="22">Q55+Q56</f>
        <v>167023</v>
      </c>
      <c r="R57" s="87">
        <f t="shared" si="22"/>
        <v>259514</v>
      </c>
      <c r="S57" s="87">
        <f t="shared" si="22"/>
        <v>334351</v>
      </c>
      <c r="T57" s="2"/>
      <c r="U57" s="2"/>
      <c r="V57" s="2"/>
      <c r="W57" s="2"/>
      <c r="X57" s="2"/>
      <c r="Y57" s="2"/>
      <c r="Z57" s="2"/>
      <c r="AA57" s="2"/>
    </row>
    <row r="58" spans="1:27" ht="15.75" x14ac:dyDescent="0.25">
      <c r="A58" s="6"/>
      <c r="B58" s="42">
        <f>B56/B57</f>
        <v>0.88375589779632779</v>
      </c>
      <c r="C58" s="42">
        <f t="shared" ref="C58:F58" si="23">C56/C57</f>
        <v>0.93192300879316803</v>
      </c>
      <c r="D58" s="42">
        <f t="shared" si="23"/>
        <v>0.94328600292044296</v>
      </c>
      <c r="E58" s="42">
        <f t="shared" si="23"/>
        <v>0.98405321550948432</v>
      </c>
      <c r="F58" s="42" t="e">
        <f t="shared" si="23"/>
        <v>#REF!</v>
      </c>
      <c r="H58" s="24" t="s">
        <v>88</v>
      </c>
      <c r="I58" s="27">
        <v>-559624</v>
      </c>
      <c r="J58" s="27">
        <v>-576700</v>
      </c>
      <c r="K58" s="27">
        <v>-576095</v>
      </c>
      <c r="L58" s="39">
        <v>-537925</v>
      </c>
      <c r="M58" s="2"/>
      <c r="N58" s="2"/>
      <c r="O58" s="90" t="s">
        <v>121</v>
      </c>
      <c r="P58" s="87">
        <f>I66</f>
        <v>-65474</v>
      </c>
      <c r="Q58" s="87">
        <f t="shared" ref="Q58:S58" si="24">J66</f>
        <v>-75042</v>
      </c>
      <c r="R58" s="87">
        <f t="shared" si="24"/>
        <v>-97748</v>
      </c>
      <c r="S58" s="87">
        <f t="shared" si="24"/>
        <v>-103916</v>
      </c>
      <c r="T58" s="2"/>
      <c r="U58" s="2"/>
      <c r="V58" s="2"/>
      <c r="W58" s="2"/>
      <c r="X58" s="2"/>
      <c r="Y58" s="2"/>
      <c r="Z58" s="2"/>
      <c r="AA58" s="2"/>
    </row>
    <row r="59" spans="1:27" ht="15.75" x14ac:dyDescent="0.25">
      <c r="A59" s="9" t="s">
        <v>89</v>
      </c>
      <c r="B59" s="6"/>
      <c r="C59" s="6"/>
      <c r="D59" s="6"/>
      <c r="E59" s="6"/>
      <c r="F59" s="6"/>
      <c r="H59" s="44" t="s">
        <v>90</v>
      </c>
      <c r="I59" s="27">
        <v>31661</v>
      </c>
      <c r="J59" s="27">
        <v>18530</v>
      </c>
      <c r="K59" s="27">
        <v>18198</v>
      </c>
      <c r="L59" s="28">
        <v>41002</v>
      </c>
      <c r="M59" s="2"/>
      <c r="N59" s="2"/>
      <c r="O59" s="90" t="s">
        <v>104</v>
      </c>
      <c r="P59" s="87">
        <f>P57+P58</f>
        <v>100025</v>
      </c>
      <c r="Q59" s="87">
        <f t="shared" ref="Q59:R59" si="25">Q57+Q58</f>
        <v>91981</v>
      </c>
      <c r="R59" s="87">
        <f t="shared" si="25"/>
        <v>161766</v>
      </c>
      <c r="S59" s="87">
        <f>S57+S58</f>
        <v>230435</v>
      </c>
      <c r="T59" s="2"/>
      <c r="U59" s="2"/>
      <c r="V59" s="2"/>
      <c r="W59" s="2"/>
      <c r="X59" s="2"/>
      <c r="Y59" s="2"/>
      <c r="Z59" s="2"/>
      <c r="AA59" s="2"/>
    </row>
    <row r="60" spans="1:27" ht="15.75" x14ac:dyDescent="0.25">
      <c r="A60" s="40" t="s">
        <v>91</v>
      </c>
      <c r="B60" s="6"/>
      <c r="C60" s="6"/>
      <c r="D60" s="6"/>
      <c r="E60" s="6"/>
      <c r="F60" s="6"/>
      <c r="H60" s="33" t="s">
        <v>92</v>
      </c>
      <c r="I60" s="64">
        <f>SUM(I56:I59)</f>
        <v>390589</v>
      </c>
      <c r="J60" s="64">
        <f>SUM(J56:J59)</f>
        <v>337565</v>
      </c>
      <c r="K60" s="64">
        <f>SUM(K56:K59)</f>
        <v>490490</v>
      </c>
      <c r="L60" s="32">
        <f>SUM(L56:L59)</f>
        <v>425233</v>
      </c>
      <c r="M60" s="2"/>
      <c r="N60" s="41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x14ac:dyDescent="0.2">
      <c r="A61" s="6" t="s">
        <v>93</v>
      </c>
      <c r="B61" s="29">
        <f>I38</f>
        <v>2868191</v>
      </c>
      <c r="C61" s="29">
        <f>J38</f>
        <v>2923429</v>
      </c>
      <c r="D61" s="29">
        <f>K38</f>
        <v>3098349</v>
      </c>
      <c r="E61" s="29">
        <f>L38</f>
        <v>2854688</v>
      </c>
      <c r="F61" s="29" t="e">
        <f>#REF!</f>
        <v>#REF!</v>
      </c>
      <c r="H61" s="46" t="s">
        <v>94</v>
      </c>
      <c r="I61" s="27">
        <v>21737</v>
      </c>
      <c r="J61" s="27">
        <v>19848</v>
      </c>
      <c r="K61" s="27">
        <v>21315</v>
      </c>
      <c r="L61" s="28">
        <v>26092</v>
      </c>
      <c r="M61" s="2"/>
      <c r="N61" s="2"/>
      <c r="O61" s="90"/>
      <c r="P61" s="89" t="s">
        <v>3</v>
      </c>
      <c r="Q61" s="89" t="s">
        <v>4</v>
      </c>
      <c r="R61" s="89" t="s">
        <v>5</v>
      </c>
      <c r="S61" s="89" t="s">
        <v>11</v>
      </c>
      <c r="T61" s="2"/>
      <c r="U61" s="2"/>
      <c r="V61" s="2"/>
      <c r="W61" s="2"/>
      <c r="X61" s="2"/>
      <c r="Y61" s="2"/>
      <c r="Z61" s="2"/>
      <c r="AA61" s="2"/>
    </row>
    <row r="62" spans="1:27" x14ac:dyDescent="0.2">
      <c r="A62" s="6" t="s">
        <v>95</v>
      </c>
      <c r="B62" s="29">
        <f>I25</f>
        <v>4431107</v>
      </c>
      <c r="C62" s="29">
        <f>J25</f>
        <v>4519205</v>
      </c>
      <c r="D62" s="29">
        <f>K25</f>
        <v>4916617</v>
      </c>
      <c r="E62" s="29">
        <f>L25</f>
        <v>4769270</v>
      </c>
      <c r="F62" s="29" t="e">
        <f>#REF!</f>
        <v>#REF!</v>
      </c>
      <c r="H62" s="24" t="s">
        <v>96</v>
      </c>
      <c r="I62" s="27">
        <v>-102865</v>
      </c>
      <c r="J62" s="27">
        <v>-97466</v>
      </c>
      <c r="K62" s="27">
        <v>-106368</v>
      </c>
      <c r="L62" s="28">
        <v>-124742</v>
      </c>
      <c r="M62" s="2"/>
      <c r="N62" s="2"/>
      <c r="O62" s="90" t="s">
        <v>39</v>
      </c>
      <c r="P62" s="87">
        <v>4431107</v>
      </c>
      <c r="Q62" s="87">
        <v>4519205</v>
      </c>
      <c r="R62" s="87">
        <v>4916617</v>
      </c>
      <c r="S62" s="87">
        <v>4769270</v>
      </c>
      <c r="T62" s="2"/>
      <c r="U62" s="2"/>
      <c r="V62" s="2"/>
      <c r="W62" s="2"/>
      <c r="X62" s="2"/>
      <c r="Y62" s="2"/>
      <c r="Z62" s="2"/>
      <c r="AA62" s="2"/>
    </row>
    <row r="63" spans="1:27" ht="15.75" x14ac:dyDescent="0.25">
      <c r="A63" s="6"/>
      <c r="B63" s="19">
        <f>B61/B62</f>
        <v>0.6472854300291101</v>
      </c>
      <c r="C63" s="19">
        <f t="shared" ref="C63:F63" si="26">C61/C62</f>
        <v>0.64689010567124083</v>
      </c>
      <c r="D63" s="19">
        <f t="shared" si="26"/>
        <v>0.63017904384254453</v>
      </c>
      <c r="E63" s="19">
        <f t="shared" si="26"/>
        <v>0.59855868927529787</v>
      </c>
      <c r="F63" s="19" t="e">
        <f t="shared" si="26"/>
        <v>#REF!</v>
      </c>
      <c r="H63" s="24" t="s">
        <v>97</v>
      </c>
      <c r="I63" s="27">
        <v>-146140</v>
      </c>
      <c r="J63" s="38">
        <v>-99487</v>
      </c>
      <c r="K63" s="27">
        <v>-151812</v>
      </c>
      <c r="L63" s="39">
        <v>484</v>
      </c>
      <c r="M63" s="2"/>
      <c r="N63" s="2"/>
      <c r="O63" s="90" t="s">
        <v>63</v>
      </c>
      <c r="P63" s="87">
        <v>2868191</v>
      </c>
      <c r="Q63" s="87">
        <v>2923429</v>
      </c>
      <c r="R63" s="87">
        <v>3098349</v>
      </c>
      <c r="S63" s="87">
        <v>2854688</v>
      </c>
      <c r="T63" s="2"/>
      <c r="U63" s="2"/>
      <c r="V63" s="2"/>
      <c r="W63" s="2"/>
      <c r="X63" s="2"/>
      <c r="Y63" s="2"/>
      <c r="Z63" s="2"/>
      <c r="AA63" s="2"/>
    </row>
    <row r="64" spans="1:27" x14ac:dyDescent="0.2">
      <c r="A64" s="6" t="s">
        <v>98</v>
      </c>
      <c r="B64" s="29">
        <f>B61</f>
        <v>2868191</v>
      </c>
      <c r="C64" s="29">
        <f>C61</f>
        <v>2923429</v>
      </c>
      <c r="D64" s="29">
        <f>D61</f>
        <v>3098349</v>
      </c>
      <c r="E64" s="29">
        <f>E61</f>
        <v>2854688</v>
      </c>
      <c r="F64" s="29" t="e">
        <f>F61</f>
        <v>#REF!</v>
      </c>
      <c r="H64" s="24" t="s">
        <v>99</v>
      </c>
      <c r="I64" s="27">
        <v>2178</v>
      </c>
      <c r="J64" s="27">
        <v>6563</v>
      </c>
      <c r="K64" s="27">
        <v>5889</v>
      </c>
      <c r="L64" s="28">
        <v>7284</v>
      </c>
      <c r="M64" s="2"/>
      <c r="N64" s="2"/>
      <c r="O64" s="90" t="s">
        <v>79</v>
      </c>
      <c r="P64" s="87">
        <v>1562916</v>
      </c>
      <c r="Q64" s="87">
        <v>1595776</v>
      </c>
      <c r="R64" s="87">
        <v>1818268</v>
      </c>
      <c r="S64" s="87">
        <v>1914582</v>
      </c>
      <c r="T64" s="2"/>
      <c r="U64" s="2"/>
      <c r="V64" s="2"/>
      <c r="W64" s="2"/>
      <c r="X64" s="2"/>
      <c r="Y64" s="2"/>
      <c r="Z64" s="2"/>
      <c r="AA64" s="2"/>
    </row>
    <row r="65" spans="1:27" ht="15.75" x14ac:dyDescent="0.2">
      <c r="A65" s="6" t="s">
        <v>100</v>
      </c>
      <c r="B65" s="29">
        <f>I33</f>
        <v>1464575</v>
      </c>
      <c r="C65" s="29">
        <f>J33</f>
        <v>1441803</v>
      </c>
      <c r="D65" s="29">
        <f>K33</f>
        <v>1480162</v>
      </c>
      <c r="E65" s="29">
        <f>L33</f>
        <v>1676175</v>
      </c>
      <c r="F65" s="29" t="e">
        <f>#REF!</f>
        <v>#REF!</v>
      </c>
      <c r="H65" s="33" t="s">
        <v>101</v>
      </c>
      <c r="I65" s="64">
        <f>SUM(I60:I64)</f>
        <v>165499</v>
      </c>
      <c r="J65" s="64">
        <f>SUM(J60:J64)</f>
        <v>167023</v>
      </c>
      <c r="K65" s="64">
        <f>SUM(K60:K64)</f>
        <v>259514</v>
      </c>
      <c r="L65" s="32">
        <f>SUM(L60:L64)</f>
        <v>334351</v>
      </c>
      <c r="M65" s="2"/>
      <c r="N65" s="2"/>
      <c r="O65" s="90" t="s">
        <v>81</v>
      </c>
      <c r="P65" s="87">
        <v>4431107</v>
      </c>
      <c r="Q65" s="87">
        <v>4519205</v>
      </c>
      <c r="R65" s="87">
        <v>4916617</v>
      </c>
      <c r="S65" s="87">
        <v>4769270</v>
      </c>
      <c r="T65" s="2"/>
      <c r="U65" s="2"/>
      <c r="V65" s="2"/>
      <c r="W65" s="2"/>
      <c r="X65" s="2"/>
      <c r="Y65" s="2"/>
      <c r="Z65" s="2"/>
      <c r="AA65" s="2"/>
    </row>
    <row r="66" spans="1:27" x14ac:dyDescent="0.2">
      <c r="A66" s="6" t="s">
        <v>98</v>
      </c>
      <c r="B66" s="29">
        <f>I38</f>
        <v>2868191</v>
      </c>
      <c r="C66" s="29">
        <f>J38</f>
        <v>2923429</v>
      </c>
      <c r="D66" s="29">
        <f>K38</f>
        <v>3098349</v>
      </c>
      <c r="E66" s="29">
        <f>L38</f>
        <v>2854688</v>
      </c>
      <c r="F66" s="29" t="e">
        <f>#REF!</f>
        <v>#REF!</v>
      </c>
      <c r="H66" s="65" t="s">
        <v>102</v>
      </c>
      <c r="I66" s="66">
        <v>-65474</v>
      </c>
      <c r="J66" s="66">
        <v>-75042</v>
      </c>
      <c r="K66" s="66">
        <v>-97748</v>
      </c>
      <c r="L66" s="67">
        <v>-103916</v>
      </c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ht="16.5" thickBot="1" x14ac:dyDescent="0.3">
      <c r="A67" s="10" t="s">
        <v>103</v>
      </c>
      <c r="B67" s="6"/>
      <c r="C67" s="6"/>
      <c r="D67" s="6"/>
      <c r="E67" s="6"/>
      <c r="F67" s="6"/>
      <c r="H67" s="47" t="s">
        <v>104</v>
      </c>
      <c r="I67" s="68">
        <f>SUM(I65:I66)</f>
        <v>100025</v>
      </c>
      <c r="J67" s="68">
        <f t="shared" ref="J67:L67" si="27">SUM(J65:J66)</f>
        <v>91981</v>
      </c>
      <c r="K67" s="68">
        <f t="shared" si="27"/>
        <v>161766</v>
      </c>
      <c r="L67" s="69">
        <f t="shared" si="27"/>
        <v>230435</v>
      </c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x14ac:dyDescent="0.2">
      <c r="A68" s="6" t="s">
        <v>105</v>
      </c>
      <c r="B68" s="29" t="e">
        <f>+'BALANCE Y GANANCIAS Y PERDIDAS'!#REF!</f>
        <v>#REF!</v>
      </c>
      <c r="C68" s="29" t="e">
        <f>#REF!</f>
        <v>#REF!</v>
      </c>
      <c r="D68" s="29" t="e">
        <f>#REF!</f>
        <v>#REF!</v>
      </c>
      <c r="E68" s="29" t="e">
        <f>#REF!</f>
        <v>#REF!</v>
      </c>
      <c r="F68" s="29" t="e">
        <f>#REF!</f>
        <v>#REF!</v>
      </c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x14ac:dyDescent="0.2">
      <c r="A69" s="70" t="s">
        <v>106</v>
      </c>
      <c r="B69" s="29" t="e">
        <f>I47+I29+#REF!+I37</f>
        <v>#REF!</v>
      </c>
      <c r="C69" s="29" t="e">
        <f>J47+J29+#REF!+J37</f>
        <v>#REF!</v>
      </c>
      <c r="D69" s="29" t="e">
        <f>K47+K29+#REF!+K37</f>
        <v>#REF!</v>
      </c>
      <c r="E69" s="29" t="e">
        <f>L47+L29+#REF!+L37</f>
        <v>#REF!</v>
      </c>
      <c r="F69" s="29" t="e">
        <f>#REF!+#REF!+#REF!+#REF!</f>
        <v>#REF!</v>
      </c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2" spans="1:27" ht="15.75" x14ac:dyDescent="0.25">
      <c r="H72" s="91"/>
      <c r="I72" s="89" t="s">
        <v>3</v>
      </c>
      <c r="J72" s="89" t="s">
        <v>4</v>
      </c>
      <c r="K72" s="89" t="s">
        <v>107</v>
      </c>
      <c r="L72" s="89" t="s">
        <v>11</v>
      </c>
    </row>
    <row r="73" spans="1:27" ht="15.75" x14ac:dyDescent="0.25">
      <c r="H73" s="91" t="s">
        <v>115</v>
      </c>
      <c r="I73" s="93">
        <f>I60</f>
        <v>390589</v>
      </c>
      <c r="J73" s="93">
        <f t="shared" ref="J73:L73" si="28">J60</f>
        <v>337565</v>
      </c>
      <c r="K73" s="93">
        <f t="shared" si="28"/>
        <v>490490</v>
      </c>
      <c r="L73" s="93">
        <f t="shared" si="28"/>
        <v>425233</v>
      </c>
    </row>
    <row r="74" spans="1:27" ht="15.75" x14ac:dyDescent="0.25">
      <c r="H74" s="91" t="s">
        <v>109</v>
      </c>
      <c r="I74" s="93">
        <f>I25</f>
        <v>4431107</v>
      </c>
      <c r="J74" s="93">
        <f t="shared" ref="J74:L74" si="29">J25</f>
        <v>4519205</v>
      </c>
      <c r="K74" s="93">
        <f t="shared" si="29"/>
        <v>4916617</v>
      </c>
      <c r="L74" s="93">
        <f t="shared" si="29"/>
        <v>4769270</v>
      </c>
    </row>
    <row r="75" spans="1:27" ht="15.75" x14ac:dyDescent="0.25">
      <c r="H75" s="92" t="s">
        <v>110</v>
      </c>
      <c r="I75" s="95">
        <f>I73/I74</f>
        <v>8.8147047679056276E-2</v>
      </c>
      <c r="J75" s="95">
        <f t="shared" ref="J75:L75" si="30">J73/J74</f>
        <v>7.4695659966741934E-2</v>
      </c>
      <c r="K75" s="95">
        <f t="shared" si="30"/>
        <v>9.9761685728215158E-2</v>
      </c>
      <c r="L75" s="95">
        <f t="shared" si="30"/>
        <v>8.9161024643184386E-2</v>
      </c>
    </row>
    <row r="76" spans="1:27" ht="15.75" x14ac:dyDescent="0.25">
      <c r="H76" s="91" t="s">
        <v>115</v>
      </c>
      <c r="I76" s="93">
        <f>I73</f>
        <v>390589</v>
      </c>
      <c r="J76" s="93">
        <f t="shared" ref="J76:L76" si="31">J73</f>
        <v>337565</v>
      </c>
      <c r="K76" s="93">
        <f t="shared" si="31"/>
        <v>490490</v>
      </c>
      <c r="L76" s="93">
        <f t="shared" si="31"/>
        <v>425233</v>
      </c>
    </row>
    <row r="77" spans="1:27" ht="15.75" x14ac:dyDescent="0.25">
      <c r="H77" s="91" t="s">
        <v>26</v>
      </c>
      <c r="I77" s="93">
        <f>I47</f>
        <v>1562916</v>
      </c>
      <c r="J77" s="93">
        <f t="shared" ref="J77:L77" si="32">J47</f>
        <v>1595776</v>
      </c>
      <c r="K77" s="93">
        <f t="shared" si="32"/>
        <v>1818268</v>
      </c>
      <c r="L77" s="93">
        <f t="shared" si="32"/>
        <v>1914582</v>
      </c>
    </row>
    <row r="78" spans="1:27" ht="15.75" x14ac:dyDescent="0.25">
      <c r="H78" s="92" t="s">
        <v>111</v>
      </c>
      <c r="I78" s="95">
        <f>I76/I77</f>
        <v>0.2499104238487545</v>
      </c>
      <c r="J78" s="95">
        <f t="shared" ref="J78:L78" si="33">J76/J77</f>
        <v>0.21153658157535896</v>
      </c>
      <c r="K78" s="95">
        <f t="shared" si="33"/>
        <v>0.2697567135317786</v>
      </c>
      <c r="L78" s="95">
        <f t="shared" si="33"/>
        <v>0.22210226566425464</v>
      </c>
    </row>
    <row r="79" spans="1:27" ht="15.75" x14ac:dyDescent="0.25">
      <c r="H79" s="91" t="s">
        <v>114</v>
      </c>
      <c r="I79" s="93">
        <f>I38</f>
        <v>2868191</v>
      </c>
      <c r="J79" s="93">
        <f t="shared" ref="J79:K79" si="34">J38</f>
        <v>2923429</v>
      </c>
      <c r="K79" s="93">
        <f t="shared" si="34"/>
        <v>3098349</v>
      </c>
      <c r="L79" s="93">
        <f>L38</f>
        <v>2854688</v>
      </c>
    </row>
    <row r="80" spans="1:27" ht="15.75" x14ac:dyDescent="0.25">
      <c r="H80" s="91" t="s">
        <v>112</v>
      </c>
      <c r="I80" s="93">
        <f>I47</f>
        <v>1562916</v>
      </c>
      <c r="J80" s="93">
        <f>J47</f>
        <v>1595776</v>
      </c>
      <c r="K80" s="93">
        <f t="shared" ref="K80:L80" si="35">K47</f>
        <v>1818268</v>
      </c>
      <c r="L80" s="93">
        <f t="shared" si="35"/>
        <v>1914582</v>
      </c>
    </row>
    <row r="81" spans="8:12" ht="15.75" x14ac:dyDescent="0.25">
      <c r="H81" s="92" t="s">
        <v>113</v>
      </c>
      <c r="I81" s="94">
        <f>I79/I80</f>
        <v>1.8351536486925721</v>
      </c>
      <c r="J81" s="94">
        <f t="shared" ref="J81:L81" si="36">J79/J80</f>
        <v>1.8319795510146788</v>
      </c>
      <c r="K81" s="94">
        <f t="shared" si="36"/>
        <v>1.7040111798700741</v>
      </c>
      <c r="L81" s="94">
        <f t="shared" si="36"/>
        <v>1.491024150441193</v>
      </c>
    </row>
  </sheetData>
  <mergeCells count="5">
    <mergeCell ref="G5:M5"/>
    <mergeCell ref="I8:I9"/>
    <mergeCell ref="J8:J9"/>
    <mergeCell ref="K8:K9"/>
    <mergeCell ref="L8:L9"/>
  </mergeCells>
  <pageMargins left="0.7" right="0.7" top="0.75" bottom="0.75" header="0.3" footer="0.3"/>
  <pageSetup orientation="portrait" horizontalDpi="300" verticalDpi="300" r:id="rId1"/>
  <ignoredErrors>
    <ignoredError sqref="P56:S58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7"/>
  <sheetViews>
    <sheetView topLeftCell="A4" zoomScale="90" zoomScaleNormal="90" workbookViewId="0">
      <selection activeCell="J21" sqref="J21"/>
    </sheetView>
  </sheetViews>
  <sheetFormatPr baseColWidth="10" defaultRowHeight="15" x14ac:dyDescent="0.25"/>
  <sheetData>
    <row r="7" spans="15:15" x14ac:dyDescent="0.25">
      <c r="O7" t="s">
        <v>116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BALANCE Y GANANCIAS Y PERDIDAS</vt:lpstr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2017-09-03T01:47:23Z</dcterms:created>
  <dcterms:modified xsi:type="dcterms:W3CDTF">2017-09-19T01:05:18Z</dcterms:modified>
</cp:coreProperties>
</file>