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10" windowWidth="11340" windowHeight="6345" firstSheet="2" activeTab="3"/>
  </bookViews>
  <sheets>
    <sheet name="Supuestos" sheetId="1" r:id="rId1"/>
    <sheet name="Cálculos" sheetId="2" r:id="rId2"/>
    <sheet name="Costo Horario" sheetId="3" r:id="rId3"/>
    <sheet name="Punto Eq" sheetId="4" r:id="rId4"/>
    <sheet name="Loan" sheetId="5" r:id="rId5"/>
    <sheet name="Evaluación" sheetId="6" r:id="rId6"/>
  </sheets>
  <definedNames/>
  <calcPr fullCalcOnLoad="1"/>
</workbook>
</file>

<file path=xl/sharedStrings.xml><?xml version="1.0" encoding="utf-8"?>
<sst xmlns="http://schemas.openxmlformats.org/spreadsheetml/2006/main" count="273" uniqueCount="191">
  <si>
    <t>Concepto</t>
  </si>
  <si>
    <t>Unidad</t>
  </si>
  <si>
    <t>Valor</t>
  </si>
  <si>
    <t>Potencia (Caballo Vapor)</t>
  </si>
  <si>
    <t>CV</t>
  </si>
  <si>
    <t>Peso</t>
  </si>
  <si>
    <t>Tn</t>
  </si>
  <si>
    <t>Valor comercial US$</t>
  </si>
  <si>
    <t>Va</t>
  </si>
  <si>
    <t>Valor residual US$</t>
  </si>
  <si>
    <t>Vr</t>
  </si>
  <si>
    <t>Número de años de vida útil</t>
  </si>
  <si>
    <t>n</t>
  </si>
  <si>
    <t>Número de días útiles al año</t>
  </si>
  <si>
    <t>Número de horas/día útil</t>
  </si>
  <si>
    <r>
      <t>Rodaje</t>
    </r>
    <r>
      <rPr>
        <i/>
        <sz val="10"/>
        <rFont val="Arial"/>
        <family val="2"/>
      </rPr>
      <t>:</t>
    </r>
  </si>
  <si>
    <t>Número de neumáticos</t>
  </si>
  <si>
    <t>Número de horas de vida útil x neumático</t>
  </si>
  <si>
    <t>Costo x neumático</t>
  </si>
  <si>
    <t>US$</t>
  </si>
  <si>
    <t>Reparación del rodaje (% del rodaje)</t>
  </si>
  <si>
    <t>%</t>
  </si>
  <si>
    <t>Costos de la inversión (Porcentajes del valor medio de la inversión)</t>
  </si>
  <si>
    <t>Intereses de la inversión</t>
  </si>
  <si>
    <t>Seguros</t>
  </si>
  <si>
    <t>Impuestos</t>
  </si>
  <si>
    <t>Almacenaje</t>
  </si>
  <si>
    <t>Mano de obra:</t>
  </si>
  <si>
    <t>Oficial (costo horario) Inc. Der. Lab.</t>
  </si>
  <si>
    <t>Ayudante (costo horario) Inc. Der. Lab.</t>
  </si>
  <si>
    <t>Oficial - Incremento porcentual sobre la jornada</t>
  </si>
  <si>
    <t xml:space="preserve">     Por limpieza y conservación de la máquina</t>
  </si>
  <si>
    <t>Ayudante - Incremento porcentual sobre la jornada</t>
  </si>
  <si>
    <t>Conservación y limpieza (% de la amortización)</t>
  </si>
  <si>
    <t xml:space="preserve">     Reparaciones pequeñas</t>
  </si>
  <si>
    <t>Reparaciones (% de la amortización)</t>
  </si>
  <si>
    <t xml:space="preserve">     Reparaciones mayores</t>
  </si>
  <si>
    <t>Diesel</t>
  </si>
  <si>
    <t>Precio x galón en US$</t>
  </si>
  <si>
    <t>US$/gal</t>
  </si>
  <si>
    <r>
      <t>Carburantes</t>
    </r>
    <r>
      <rPr>
        <i/>
        <sz val="10"/>
        <rFont val="Arial"/>
        <family val="2"/>
      </rPr>
      <t>:</t>
    </r>
  </si>
  <si>
    <t>Consumo específico en galones/hora</t>
  </si>
  <si>
    <t>gal/h</t>
  </si>
  <si>
    <r>
      <t>Lubricantes</t>
    </r>
    <r>
      <rPr>
        <i/>
        <sz val="10"/>
        <rFont val="Arial"/>
        <family val="2"/>
      </rPr>
      <t>:</t>
    </r>
  </si>
  <si>
    <t>Lubricantes (% del carburante)</t>
  </si>
  <si>
    <r>
      <t>Transporte a obra</t>
    </r>
    <r>
      <rPr>
        <i/>
        <sz val="10"/>
        <rFont val="Arial"/>
        <family val="2"/>
      </rPr>
      <t>:</t>
    </r>
  </si>
  <si>
    <t>Trayecto del parque a la obra</t>
  </si>
  <si>
    <t>km</t>
  </si>
  <si>
    <t>Costo del traslado</t>
  </si>
  <si>
    <t>US$/Tn.km.</t>
  </si>
  <si>
    <t xml:space="preserve">     Con trailer o propios medios</t>
  </si>
  <si>
    <t>Número de años puesta en obra</t>
  </si>
  <si>
    <t>h</t>
  </si>
  <si>
    <t>Cálculos intermedios</t>
  </si>
  <si>
    <t>Supuestos Iniciales</t>
  </si>
  <si>
    <t>Número de horas/año</t>
  </si>
  <si>
    <t>horas/año</t>
  </si>
  <si>
    <t>Número de horas en toda la vida útil</t>
  </si>
  <si>
    <t>horas/v.útil</t>
  </si>
  <si>
    <t>Depreciación lineal anual</t>
  </si>
  <si>
    <t>Amortización lineal horaria</t>
  </si>
  <si>
    <t>Valor medio de la inversión</t>
  </si>
  <si>
    <t>Vi</t>
  </si>
  <si>
    <t>Costos de la inversión (% del valor medio de la inversión)</t>
  </si>
  <si>
    <t>Costo horario de la maquinaria</t>
  </si>
  <si>
    <t>Vida Util</t>
  </si>
  <si>
    <t>hr</t>
  </si>
  <si>
    <t>Suma US$</t>
  </si>
  <si>
    <t>Gastos Fijos</t>
  </si>
  <si>
    <t xml:space="preserve">  Amortización</t>
  </si>
  <si>
    <t xml:space="preserve">  Gastos de inversión</t>
  </si>
  <si>
    <t xml:space="preserve">  Mano de obra:</t>
  </si>
  <si>
    <t xml:space="preserve">      Oficial</t>
  </si>
  <si>
    <t xml:space="preserve">      Ayudante</t>
  </si>
  <si>
    <t xml:space="preserve">  Conservación y limpieza</t>
  </si>
  <si>
    <t>Gastos Variables</t>
  </si>
  <si>
    <t xml:space="preserve">  Reparaciones</t>
  </si>
  <si>
    <t xml:space="preserve">  Rodaje</t>
  </si>
  <si>
    <t xml:space="preserve">  Reparación del rodaje</t>
  </si>
  <si>
    <t xml:space="preserve">  Consumos:</t>
  </si>
  <si>
    <t xml:space="preserve">     Carburantes</t>
  </si>
  <si>
    <t xml:space="preserve">     Lubricantes</t>
  </si>
  <si>
    <t xml:space="preserve">  Transporte a obra</t>
  </si>
  <si>
    <t xml:space="preserve">  Otros gastos</t>
  </si>
  <si>
    <t xml:space="preserve">TOTAL US$  </t>
  </si>
  <si>
    <t>Número de horas puesta en obra</t>
  </si>
  <si>
    <t>Otros Gastos (% de [consumos + transporte] )</t>
  </si>
  <si>
    <t>Diseño: Manuel Manzanedo Vásquez</t>
  </si>
  <si>
    <t>Cinco escenarios:</t>
  </si>
  <si>
    <t>Q Ventas</t>
  </si>
  <si>
    <t>Costo Variable Unit.</t>
  </si>
  <si>
    <t>$ Ventas</t>
  </si>
  <si>
    <t>Costo Fijo</t>
  </si>
  <si>
    <t>Costo Variable</t>
  </si>
  <si>
    <t>Pto. Equilibrio</t>
  </si>
  <si>
    <t>Costo Total</t>
  </si>
  <si>
    <t>Beneficio</t>
  </si>
  <si>
    <t>Gráfico:</t>
  </si>
  <si>
    <r>
      <t>Costos Fijos</t>
    </r>
    <r>
      <rPr>
        <sz val="10"/>
        <rFont val="Arial"/>
        <family val="2"/>
      </rPr>
      <t xml:space="preserve">  (Para el Punto de equilibrio)</t>
    </r>
  </si>
  <si>
    <t>US$/hora</t>
  </si>
  <si>
    <t>Costo Fijo Total</t>
  </si>
  <si>
    <t>Precio Unit.</t>
  </si>
  <si>
    <t>PUNTO DE EQUILIBRIO (anual)</t>
  </si>
  <si>
    <r>
      <t>Ingresos</t>
    </r>
    <r>
      <rPr>
        <i/>
        <sz val="10"/>
        <rFont val="Arial"/>
        <family val="2"/>
      </rPr>
      <t>:</t>
    </r>
  </si>
  <si>
    <t>Precio por hora de alquiler</t>
  </si>
  <si>
    <t xml:space="preserve">&lt;- Horas </t>
  </si>
  <si>
    <t>Unidad de producción: hora máquina</t>
  </si>
  <si>
    <t>Sueldo personal administrativo</t>
  </si>
  <si>
    <t>Ayudantes</t>
  </si>
  <si>
    <t>Gastos financieros</t>
  </si>
  <si>
    <t>Servicio mecánico</t>
  </si>
  <si>
    <t>Vigilancia</t>
  </si>
  <si>
    <t>Servicio agua, luz, teléfono</t>
  </si>
  <si>
    <t>Alquiler de locales</t>
  </si>
  <si>
    <t>Casa</t>
  </si>
  <si>
    <t>Otros gastos administrativos</t>
  </si>
  <si>
    <r>
      <t>Gastos Administrativos (Anual)</t>
    </r>
    <r>
      <rPr>
        <i/>
        <sz val="10"/>
        <rFont val="Arial"/>
        <family val="2"/>
      </rPr>
      <t>:</t>
    </r>
  </si>
  <si>
    <r>
      <t>Financiamiento</t>
    </r>
    <r>
      <rPr>
        <i/>
        <sz val="10"/>
        <rFont val="Arial"/>
        <family val="2"/>
      </rPr>
      <t>:</t>
    </r>
  </si>
  <si>
    <t>Pago Inicial (% valor comercial)</t>
  </si>
  <si>
    <t>Riesgo Ex-Im Bank</t>
  </si>
  <si>
    <t>Tasa Efectiva Anual (TEA)</t>
  </si>
  <si>
    <t>Total Gastos Administrativos (Anual)</t>
  </si>
  <si>
    <t>Monto financiado</t>
  </si>
  <si>
    <t>Pagos: en 10 cuotas semestrales</t>
  </si>
  <si>
    <t>Método: 10 cuotas iguales de principal</t>
  </si>
  <si>
    <t>Cuota igual de principal</t>
  </si>
  <si>
    <t>Tasa de interés semestral</t>
  </si>
  <si>
    <t>Principal</t>
  </si>
  <si>
    <t>Payment</t>
  </si>
  <si>
    <t>Interest</t>
  </si>
  <si>
    <t>Cumulative</t>
  </si>
  <si>
    <t>Total</t>
  </si>
  <si>
    <t>Remaining</t>
  </si>
  <si>
    <t>Balance</t>
  </si>
  <si>
    <t>N</t>
  </si>
  <si>
    <r>
      <t xml:space="preserve">           </t>
    </r>
    <r>
      <rPr>
        <b/>
        <u val="single"/>
        <sz val="10"/>
        <rFont val="Arial"/>
        <family val="2"/>
      </rPr>
      <t>Loan Analysis</t>
    </r>
  </si>
  <si>
    <t>Semestres</t>
  </si>
  <si>
    <t>Diseño: MMV</t>
  </si>
  <si>
    <t>DEPRECIACION:</t>
  </si>
  <si>
    <t>en su vida útil:</t>
  </si>
  <si>
    <t>Valor residual:</t>
  </si>
  <si>
    <t>Vida útil:</t>
  </si>
  <si>
    <t>5 años:</t>
  </si>
  <si>
    <t>10 años:</t>
  </si>
  <si>
    <t>Flujo de Caja a 5 años</t>
  </si>
  <si>
    <t>Rubro</t>
  </si>
  <si>
    <t>Año 0</t>
  </si>
  <si>
    <t>Año 1</t>
  </si>
  <si>
    <t>Año 2</t>
  </si>
  <si>
    <t>Año 3</t>
  </si>
  <si>
    <t>Año 4</t>
  </si>
  <si>
    <t>Año 5</t>
  </si>
  <si>
    <t>Inversión inicial</t>
  </si>
  <si>
    <t>Ingresos</t>
  </si>
  <si>
    <t>(-) Costos operativos</t>
  </si>
  <si>
    <t>(-) Costos administrativos</t>
  </si>
  <si>
    <t>Utilidad Bruta</t>
  </si>
  <si>
    <t>(-) Depreciación</t>
  </si>
  <si>
    <t>Utilidad antes de impuestos</t>
  </si>
  <si>
    <t>(-) Impuestos</t>
  </si>
  <si>
    <t>Utilidad después de impuestos</t>
  </si>
  <si>
    <t>(-) Participación de trabajadores</t>
  </si>
  <si>
    <t>Utilidad Neta</t>
  </si>
  <si>
    <t>(+) Depreciación</t>
  </si>
  <si>
    <t>(+) Valor residual</t>
  </si>
  <si>
    <t>FLUJO DE CAJA NETO</t>
  </si>
  <si>
    <t>Evaluación Financiera:</t>
  </si>
  <si>
    <t>VAN al:</t>
  </si>
  <si>
    <t>TIR:</t>
  </si>
  <si>
    <t>El análisis contempla dos escenarios</t>
  </si>
  <si>
    <t>Valor comercial:</t>
  </si>
  <si>
    <t>(-) Intereses Préstamo</t>
  </si>
  <si>
    <r>
      <t>Datos tributarios - legales</t>
    </r>
    <r>
      <rPr>
        <i/>
        <sz val="10"/>
        <rFont val="Arial"/>
        <family val="2"/>
      </rPr>
      <t>:</t>
    </r>
  </si>
  <si>
    <t>Impuestos a las utilidades</t>
  </si>
  <si>
    <t>Participación de trabajadores</t>
  </si>
  <si>
    <t>(-) Pago préstamo (principal)</t>
  </si>
  <si>
    <r>
      <t>Datos Financieros</t>
    </r>
    <r>
      <rPr>
        <i/>
        <sz val="10"/>
        <rFont val="Arial"/>
        <family val="2"/>
      </rPr>
      <t>:</t>
    </r>
  </si>
  <si>
    <t>Rentabilidad mínima esperada (para el VAN)</t>
  </si>
  <si>
    <t xml:space="preserve">&lt;- No incluye IGV </t>
  </si>
  <si>
    <t xml:space="preserve">&lt;- Sin IGV </t>
  </si>
  <si>
    <t>Dep. Anual</t>
  </si>
  <si>
    <t>Año 6</t>
  </si>
  <si>
    <t>Año 7</t>
  </si>
  <si>
    <t>Año 8</t>
  </si>
  <si>
    <t>Año 9</t>
  </si>
  <si>
    <t>Año 10</t>
  </si>
  <si>
    <t>Flujo de Caja a 10 años</t>
  </si>
  <si>
    <t>Excavadora Caterpillar 330CL</t>
  </si>
  <si>
    <t>Cucharón</t>
  </si>
  <si>
    <t>CYD</t>
  </si>
  <si>
    <t>Promedio: 2,000 horas x año</t>
  </si>
</sst>
</file>

<file path=xl/styles.xml><?xml version="1.0" encoding="utf-8"?>
<styleSheet xmlns="http://schemas.openxmlformats.org/spreadsheetml/2006/main">
  <numFmts count="26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&quot;S/.&quot;#,##0;&quot;S/.&quot;\-#,##0"/>
    <numFmt numFmtId="171" formatCode="&quot;S/.&quot;#,##0;[Red]&quot;S/.&quot;\-#,##0"/>
    <numFmt numFmtId="172" formatCode="&quot;S/.&quot;#,##0.00;&quot;S/.&quot;\-#,##0.00"/>
    <numFmt numFmtId="173" formatCode="&quot;S/.&quot;#,##0.00;[Red]&quot;S/.&quot;\-#,##0.00"/>
    <numFmt numFmtId="174" formatCode="_ &quot;S/.&quot;* #,##0_ ;_ &quot;S/.&quot;* \-#,##0_ ;_ &quot;S/.&quot;* &quot;-&quot;_ ;_ @_ "/>
    <numFmt numFmtId="175" formatCode="_ &quot;S/.&quot;* #,##0.00_ ;_ &quot;S/.&quot;* \-#,##0.00_ ;_ &quot;S/.&quot;* &quot;-&quot;??_ ;_ @_ "/>
    <numFmt numFmtId="176" formatCode="0.0%"/>
    <numFmt numFmtId="177" formatCode="0.000"/>
    <numFmt numFmtId="178" formatCode="#,##0.0"/>
    <numFmt numFmtId="179" formatCode="0.0000000000000000%"/>
    <numFmt numFmtId="180" formatCode="0.00000%"/>
    <numFmt numFmtId="181" formatCode="#,##0.00_ ;[Red]\-#,##0.00\ "/>
  </numFmts>
  <fonts count="57">
    <font>
      <sz val="10"/>
      <name val="Arial"/>
      <family val="0"/>
    </font>
    <font>
      <b/>
      <sz val="10"/>
      <name val="Arial"/>
      <family val="2"/>
    </font>
    <font>
      <i/>
      <u val="single"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sz val="10"/>
      <color indexed="9"/>
      <name val="Arial"/>
      <family val="2"/>
    </font>
    <font>
      <sz val="10"/>
      <name val="Courier New"/>
      <family val="3"/>
    </font>
    <font>
      <b/>
      <sz val="10"/>
      <color indexed="12"/>
      <name val="Courier New"/>
      <family val="3"/>
    </font>
    <font>
      <sz val="10"/>
      <color indexed="10"/>
      <name val="Courier New"/>
      <family val="3"/>
    </font>
    <font>
      <b/>
      <sz val="10"/>
      <color indexed="10"/>
      <name val="Courier New"/>
      <family val="3"/>
    </font>
    <font>
      <sz val="8"/>
      <color indexed="12"/>
      <name val="Courier New"/>
      <family val="3"/>
    </font>
    <font>
      <u val="single"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.75"/>
      <color indexed="8"/>
      <name val="Arial"/>
      <family val="0"/>
    </font>
    <font>
      <sz val="8"/>
      <color indexed="8"/>
      <name val="Arial"/>
      <family val="0"/>
    </font>
    <font>
      <sz val="8.75"/>
      <color indexed="8"/>
      <name val="Arial"/>
      <family val="0"/>
    </font>
    <font>
      <sz val="6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5" fillId="0" borderId="8" applyNumberFormat="0" applyFill="0" applyAlignment="0" applyProtection="0"/>
    <xf numFmtId="0" fontId="56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4" fontId="0" fillId="0" borderId="0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176" fontId="0" fillId="33" borderId="10" xfId="0" applyNumberFormat="1" applyFill="1" applyBorder="1" applyAlignment="1">
      <alignment/>
    </xf>
    <xf numFmtId="4" fontId="0" fillId="33" borderId="10" xfId="0" applyNumberFormat="1" applyFill="1" applyBorder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2" fontId="0" fillId="33" borderId="10" xfId="0" applyNumberFormat="1" applyFill="1" applyBorder="1" applyAlignment="1">
      <alignment/>
    </xf>
    <xf numFmtId="177" fontId="0" fillId="33" borderId="10" xfId="0" applyNumberFormat="1" applyFill="1" applyBorder="1" applyAlignment="1">
      <alignment/>
    </xf>
    <xf numFmtId="176" fontId="0" fillId="0" borderId="0" xfId="0" applyNumberFormat="1" applyFill="1" applyBorder="1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178" fontId="0" fillId="0" borderId="0" xfId="0" applyNumberFormat="1" applyFill="1" applyBorder="1" applyAlignment="1">
      <alignment/>
    </xf>
    <xf numFmtId="2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4" fontId="0" fillId="0" borderId="11" xfId="0" applyNumberFormat="1" applyBorder="1" applyAlignment="1">
      <alignment/>
    </xf>
    <xf numFmtId="0" fontId="0" fillId="0" borderId="12" xfId="0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4" fontId="0" fillId="0" borderId="12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9" fontId="0" fillId="33" borderId="10" xfId="0" applyNumberFormat="1" applyFill="1" applyBorder="1" applyAlignment="1">
      <alignment/>
    </xf>
    <xf numFmtId="4" fontId="0" fillId="33" borderId="10" xfId="0" applyNumberFormat="1" applyFont="1" applyFill="1" applyBorder="1" applyAlignment="1">
      <alignment/>
    </xf>
    <xf numFmtId="2" fontId="0" fillId="33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6" fillId="35" borderId="13" xfId="0" applyFont="1" applyFill="1" applyBorder="1" applyAlignment="1">
      <alignment/>
    </xf>
    <xf numFmtId="4" fontId="7" fillId="35" borderId="14" xfId="0" applyNumberFormat="1" applyFont="1" applyFill="1" applyBorder="1" applyAlignment="1">
      <alignment/>
    </xf>
    <xf numFmtId="3" fontId="8" fillId="35" borderId="15" xfId="0" applyNumberFormat="1" applyFont="1" applyFill="1" applyBorder="1" applyAlignment="1">
      <alignment/>
    </xf>
    <xf numFmtId="3" fontId="9" fillId="36" borderId="15" xfId="0" applyNumberFormat="1" applyFont="1" applyFill="1" applyBorder="1" applyAlignment="1">
      <alignment/>
    </xf>
    <xf numFmtId="3" fontId="8" fillId="35" borderId="14" xfId="0" applyNumberFormat="1" applyFont="1" applyFill="1" applyBorder="1" applyAlignment="1">
      <alignment/>
    </xf>
    <xf numFmtId="0" fontId="6" fillId="35" borderId="16" xfId="0" applyFont="1" applyFill="1" applyBorder="1" applyAlignment="1">
      <alignment/>
    </xf>
    <xf numFmtId="4" fontId="7" fillId="35" borderId="17" xfId="0" applyNumberFormat="1" applyFont="1" applyFill="1" applyBorder="1" applyAlignment="1">
      <alignment/>
    </xf>
    <xf numFmtId="3" fontId="8" fillId="35" borderId="0" xfId="0" applyNumberFormat="1" applyFont="1" applyFill="1" applyBorder="1" applyAlignment="1">
      <alignment/>
    </xf>
    <xf numFmtId="3" fontId="8" fillId="35" borderId="17" xfId="0" applyNumberFormat="1" applyFont="1" applyFill="1" applyBorder="1" applyAlignment="1">
      <alignment/>
    </xf>
    <xf numFmtId="0" fontId="6" fillId="35" borderId="18" xfId="0" applyFont="1" applyFill="1" applyBorder="1" applyAlignment="1">
      <alignment/>
    </xf>
    <xf numFmtId="3" fontId="9" fillId="36" borderId="19" xfId="0" applyNumberFormat="1" applyFont="1" applyFill="1" applyBorder="1" applyAlignment="1">
      <alignment/>
    </xf>
    <xf numFmtId="0" fontId="10" fillId="0" borderId="0" xfId="0" applyFont="1" applyAlignment="1">
      <alignment/>
    </xf>
    <xf numFmtId="3" fontId="8" fillId="35" borderId="20" xfId="0" applyNumberFormat="1" applyFont="1" applyFill="1" applyBorder="1" applyAlignment="1">
      <alignment/>
    </xf>
    <xf numFmtId="3" fontId="8" fillId="36" borderId="20" xfId="0" applyNumberFormat="1" applyFont="1" applyFill="1" applyBorder="1" applyAlignment="1">
      <alignment/>
    </xf>
    <xf numFmtId="3" fontId="8" fillId="35" borderId="19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13" fillId="0" borderId="0" xfId="0" applyFont="1" applyBorder="1" applyAlignment="1">
      <alignment vertical="top" wrapText="1"/>
    </xf>
    <xf numFmtId="4" fontId="0" fillId="0" borderId="0" xfId="0" applyNumberFormat="1" applyFont="1" applyBorder="1" applyAlignment="1">
      <alignment/>
    </xf>
    <xf numFmtId="0" fontId="13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horizontal="center"/>
    </xf>
    <xf numFmtId="10" fontId="0" fillId="33" borderId="10" xfId="0" applyNumberFormat="1" applyFill="1" applyBorder="1" applyAlignment="1">
      <alignment/>
    </xf>
    <xf numFmtId="0" fontId="0" fillId="0" borderId="0" xfId="0" applyFont="1" applyAlignment="1">
      <alignment/>
    </xf>
    <xf numFmtId="180" fontId="0" fillId="0" borderId="0" xfId="0" applyNumberFormat="1" applyAlignment="1">
      <alignment/>
    </xf>
    <xf numFmtId="0" fontId="0" fillId="37" borderId="21" xfId="0" applyFill="1" applyBorder="1" applyAlignment="1">
      <alignment horizontal="center"/>
    </xf>
    <xf numFmtId="0" fontId="0" fillId="37" borderId="22" xfId="0" applyFill="1" applyBorder="1" applyAlignment="1">
      <alignment horizontal="center"/>
    </xf>
    <xf numFmtId="4" fontId="0" fillId="33" borderId="21" xfId="0" applyNumberFormat="1" applyFill="1" applyBorder="1" applyAlignment="1">
      <alignment/>
    </xf>
    <xf numFmtId="4" fontId="0" fillId="33" borderId="23" xfId="0" applyNumberFormat="1" applyFill="1" applyBorder="1" applyAlignment="1">
      <alignment/>
    </xf>
    <xf numFmtId="4" fontId="0" fillId="33" borderId="22" xfId="0" applyNumberFormat="1" applyFill="1" applyBorder="1" applyAlignment="1">
      <alignment/>
    </xf>
    <xf numFmtId="4" fontId="0" fillId="33" borderId="24" xfId="0" applyNumberFormat="1" applyFill="1" applyBorder="1" applyAlignment="1">
      <alignment/>
    </xf>
    <xf numFmtId="0" fontId="0" fillId="38" borderId="25" xfId="0" applyFill="1" applyBorder="1" applyAlignment="1">
      <alignment horizontal="center"/>
    </xf>
    <xf numFmtId="0" fontId="0" fillId="38" borderId="26" xfId="0" applyFill="1" applyBorder="1" applyAlignment="1">
      <alignment horizontal="center"/>
    </xf>
    <xf numFmtId="0" fontId="0" fillId="38" borderId="22" xfId="0" applyFill="1" applyBorder="1" applyAlignment="1">
      <alignment horizontal="center"/>
    </xf>
    <xf numFmtId="0" fontId="0" fillId="38" borderId="24" xfId="0" applyFill="1" applyBorder="1" applyAlignment="1">
      <alignment horizontal="center"/>
    </xf>
    <xf numFmtId="0" fontId="14" fillId="0" borderId="0" xfId="0" applyFont="1" applyAlignment="1">
      <alignment/>
    </xf>
    <xf numFmtId="0" fontId="0" fillId="39" borderId="27" xfId="0" applyFill="1" applyBorder="1" applyAlignment="1">
      <alignment horizontal="right"/>
    </xf>
    <xf numFmtId="4" fontId="0" fillId="40" borderId="27" xfId="0" applyNumberFormat="1" applyFill="1" applyBorder="1" applyAlignment="1">
      <alignment/>
    </xf>
    <xf numFmtId="0" fontId="0" fillId="39" borderId="28" xfId="0" applyFill="1" applyBorder="1" applyAlignment="1">
      <alignment horizontal="right"/>
    </xf>
    <xf numFmtId="4" fontId="0" fillId="40" borderId="28" xfId="0" applyNumberFormat="1" applyFill="1" applyBorder="1" applyAlignment="1">
      <alignment/>
    </xf>
    <xf numFmtId="0" fontId="0" fillId="40" borderId="28" xfId="0" applyFill="1" applyBorder="1" applyAlignment="1">
      <alignment horizontal="center"/>
    </xf>
    <xf numFmtId="0" fontId="0" fillId="39" borderId="29" xfId="0" applyFill="1" applyBorder="1" applyAlignment="1">
      <alignment horizontal="right"/>
    </xf>
    <xf numFmtId="4" fontId="0" fillId="40" borderId="29" xfId="0" applyNumberFormat="1" applyFill="1" applyBorder="1" applyAlignment="1">
      <alignment/>
    </xf>
    <xf numFmtId="0" fontId="0" fillId="0" borderId="0" xfId="0" applyFill="1" applyBorder="1" applyAlignment="1">
      <alignment horizontal="right"/>
    </xf>
    <xf numFmtId="0" fontId="1" fillId="33" borderId="30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38" borderId="30" xfId="0" applyFill="1" applyBorder="1" applyAlignment="1">
      <alignment/>
    </xf>
    <xf numFmtId="0" fontId="0" fillId="38" borderId="31" xfId="0" applyFill="1" applyBorder="1" applyAlignment="1">
      <alignment/>
    </xf>
    <xf numFmtId="4" fontId="0" fillId="38" borderId="31" xfId="0" applyNumberFormat="1" applyFill="1" applyBorder="1" applyAlignment="1">
      <alignment/>
    </xf>
    <xf numFmtId="0" fontId="0" fillId="0" borderId="16" xfId="0" applyFill="1" applyBorder="1" applyAlignment="1">
      <alignment/>
    </xf>
    <xf numFmtId="43" fontId="0" fillId="0" borderId="0" xfId="0" applyNumberFormat="1" applyBorder="1" applyAlignment="1">
      <alignment/>
    </xf>
    <xf numFmtId="0" fontId="12" fillId="38" borderId="30" xfId="0" applyFont="1" applyFill="1" applyBorder="1" applyAlignment="1">
      <alignment/>
    </xf>
    <xf numFmtId="0" fontId="14" fillId="33" borderId="30" xfId="0" applyFont="1" applyFill="1" applyBorder="1" applyAlignment="1">
      <alignment horizontal="right"/>
    </xf>
    <xf numFmtId="10" fontId="14" fillId="33" borderId="31" xfId="0" applyNumberFormat="1" applyFont="1" applyFill="1" applyBorder="1" applyAlignment="1">
      <alignment/>
    </xf>
    <xf numFmtId="181" fontId="14" fillId="33" borderId="31" xfId="0" applyNumberFormat="1" applyFont="1" applyFill="1" applyBorder="1" applyAlignment="1">
      <alignment/>
    </xf>
    <xf numFmtId="0" fontId="14" fillId="33" borderId="32" xfId="0" applyFont="1" applyFill="1" applyBorder="1" applyAlignment="1">
      <alignment horizontal="left"/>
    </xf>
    <xf numFmtId="0" fontId="14" fillId="33" borderId="18" xfId="0" applyFont="1" applyFill="1" applyBorder="1" applyAlignment="1">
      <alignment horizontal="right"/>
    </xf>
    <xf numFmtId="0" fontId="0" fillId="33" borderId="20" xfId="0" applyFill="1" applyBorder="1" applyAlignment="1">
      <alignment/>
    </xf>
    <xf numFmtId="0" fontId="0" fillId="33" borderId="19" xfId="0" applyFill="1" applyBorder="1" applyAlignment="1">
      <alignment/>
    </xf>
    <xf numFmtId="10" fontId="14" fillId="33" borderId="20" xfId="0" applyNumberFormat="1" applyFont="1" applyFill="1" applyBorder="1" applyAlignment="1">
      <alignment/>
    </xf>
    <xf numFmtId="0" fontId="1" fillId="33" borderId="32" xfId="0" applyFont="1" applyFill="1" applyBorder="1" applyAlignment="1">
      <alignment horizontal="center"/>
    </xf>
    <xf numFmtId="0" fontId="0" fillId="0" borderId="17" xfId="0" applyBorder="1" applyAlignment="1">
      <alignment/>
    </xf>
    <xf numFmtId="4" fontId="0" fillId="0" borderId="17" xfId="0" applyNumberFormat="1" applyBorder="1" applyAlignment="1">
      <alignment/>
    </xf>
    <xf numFmtId="4" fontId="0" fillId="38" borderId="32" xfId="0" applyNumberFormat="1" applyFill="1" applyBorder="1" applyAlignment="1">
      <alignment/>
    </xf>
    <xf numFmtId="4" fontId="0" fillId="0" borderId="17" xfId="0" applyNumberFormat="1" applyFill="1" applyBorder="1" applyAlignment="1">
      <alignment/>
    </xf>
    <xf numFmtId="43" fontId="0" fillId="0" borderId="17" xfId="0" applyNumberForma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127"/>
          <c:w val="0.97675"/>
          <c:h val="0.8345"/>
        </c:manualLayout>
      </c:layout>
      <c:lineChart>
        <c:grouping val="standard"/>
        <c:varyColors val="0"/>
        <c:ser>
          <c:idx val="2"/>
          <c:order val="0"/>
          <c:tx>
            <c:strRef>
              <c:f>'Punto Eq'!$F$8</c:f>
              <c:strCache>
                <c:ptCount val="1"/>
                <c:pt idx="0">
                  <c:v>$ Ventas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'Punto Eq'!$G$7:$K$7</c:f>
              <c:numCache/>
            </c:numRef>
          </c:cat>
          <c:val>
            <c:numRef>
              <c:f>'Punto Eq'!$G$8:$K$8</c:f>
              <c:numCache/>
            </c:numRef>
          </c:val>
          <c:smooth val="0"/>
        </c:ser>
        <c:ser>
          <c:idx val="3"/>
          <c:order val="1"/>
          <c:tx>
            <c:strRef>
              <c:f>'Punto Eq'!$F$9</c:f>
              <c:strCache>
                <c:ptCount val="1"/>
                <c:pt idx="0">
                  <c:v>Costo Variable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'Punto Eq'!$G$7:$K$7</c:f>
              <c:numCache/>
            </c:numRef>
          </c:cat>
          <c:val>
            <c:numRef>
              <c:f>'Punto Eq'!$G$9:$K$9</c:f>
              <c:numCache/>
            </c:numRef>
          </c:val>
          <c:smooth val="0"/>
        </c:ser>
        <c:ser>
          <c:idx val="4"/>
          <c:order val="2"/>
          <c:tx>
            <c:strRef>
              <c:f>'Punto Eq'!$F$10</c:f>
              <c:strCache>
                <c:ptCount val="1"/>
                <c:pt idx="0">
                  <c:v>Costo Fijo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'Punto Eq'!$G$7:$K$7</c:f>
              <c:numCache/>
            </c:numRef>
          </c:cat>
          <c:val>
            <c:numRef>
              <c:f>'Punto Eq'!$G$10:$K$10</c:f>
              <c:numCache/>
            </c:numRef>
          </c:val>
          <c:smooth val="0"/>
        </c:ser>
        <c:ser>
          <c:idx val="5"/>
          <c:order val="3"/>
          <c:tx>
            <c:strRef>
              <c:f>'Punto Eq'!$F$11</c:f>
              <c:strCache>
                <c:ptCount val="1"/>
                <c:pt idx="0">
                  <c:v>Costo Total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'Punto Eq'!$G$7:$K$7</c:f>
              <c:numCache/>
            </c:numRef>
          </c:cat>
          <c:val>
            <c:numRef>
              <c:f>'Punto Eq'!$G$11:$K$11</c:f>
              <c:numCache/>
            </c:numRef>
          </c:val>
          <c:smooth val="0"/>
        </c:ser>
        <c:ser>
          <c:idx val="0"/>
          <c:order val="4"/>
          <c:tx>
            <c:strRef>
              <c:f>'Punto Eq'!$F$12</c:f>
              <c:strCache>
                <c:ptCount val="1"/>
                <c:pt idx="0">
                  <c:v>Beneficio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'Punto Eq'!$G$7:$K$7</c:f>
              <c:numCache/>
            </c:numRef>
          </c:cat>
          <c:val>
            <c:numRef>
              <c:f>'Punto Eq'!$G$12:$K$12</c:f>
              <c:numCache/>
            </c:numRef>
          </c:val>
          <c:smooth val="0"/>
        </c:ser>
        <c:marker val="1"/>
        <c:axId val="38333857"/>
        <c:axId val="9460394"/>
      </c:lineChart>
      <c:catAx>
        <c:axId val="38333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460394"/>
        <c:crosses val="autoZero"/>
        <c:auto val="1"/>
        <c:lblOffset val="100"/>
        <c:tickLblSkip val="1"/>
        <c:noMultiLvlLbl val="0"/>
      </c:catAx>
      <c:valAx>
        <c:axId val="94603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3338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2"/>
          <c:y val="0.00775"/>
          <c:w val="0.781"/>
          <c:h val="0.13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0</xdr:rowOff>
    </xdr:from>
    <xdr:to>
      <xdr:col>5</xdr:col>
      <xdr:colOff>542925</xdr:colOff>
      <xdr:row>29</xdr:row>
      <xdr:rowOff>133350</xdr:rowOff>
    </xdr:to>
    <xdr:graphicFrame>
      <xdr:nvGraphicFramePr>
        <xdr:cNvPr id="1" name="Gráfico 1"/>
        <xdr:cNvGraphicFramePr/>
      </xdr:nvGraphicFramePr>
      <xdr:xfrm>
        <a:off x="295275" y="2324100"/>
        <a:ext cx="417195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zoomScalePageLayoutView="0" workbookViewId="0" topLeftCell="A25">
      <selection activeCell="A43" sqref="A43"/>
    </sheetView>
  </sheetViews>
  <sheetFormatPr defaultColWidth="11.421875" defaultRowHeight="12.75"/>
  <cols>
    <col min="1" max="1" width="41.8515625" style="0" customWidth="1"/>
    <col min="3" max="3" width="13.140625" style="0" customWidth="1"/>
    <col min="4" max="4" width="5.57421875" style="0" customWidth="1"/>
  </cols>
  <sheetData>
    <row r="1" ht="12.75">
      <c r="B1" s="12" t="s">
        <v>54</v>
      </c>
    </row>
    <row r="3" ht="12.75">
      <c r="A3" s="1" t="s">
        <v>187</v>
      </c>
    </row>
    <row r="4" spans="1:3" ht="12.75">
      <c r="A4" s="2" t="s">
        <v>0</v>
      </c>
      <c r="B4" s="2" t="s">
        <v>1</v>
      </c>
      <c r="C4" s="2" t="s">
        <v>2</v>
      </c>
    </row>
    <row r="5" spans="1:3" ht="12.75">
      <c r="A5" s="3" t="s">
        <v>3</v>
      </c>
      <c r="B5" s="4" t="s">
        <v>4</v>
      </c>
      <c r="C5" s="32">
        <v>247</v>
      </c>
    </row>
    <row r="6" spans="1:3" ht="12.75">
      <c r="A6" s="3" t="s">
        <v>5</v>
      </c>
      <c r="B6" s="4" t="s">
        <v>6</v>
      </c>
      <c r="C6" s="33">
        <v>35</v>
      </c>
    </row>
    <row r="7" spans="1:3" ht="12.75">
      <c r="A7" s="3" t="s">
        <v>188</v>
      </c>
      <c r="B7" s="4" t="s">
        <v>189</v>
      </c>
      <c r="C7" s="32">
        <v>3.2</v>
      </c>
    </row>
    <row r="8" spans="1:3" ht="12.75">
      <c r="A8" t="s">
        <v>7</v>
      </c>
      <c r="B8" s="4" t="s">
        <v>8</v>
      </c>
      <c r="C8" s="10">
        <v>270000</v>
      </c>
    </row>
    <row r="9" spans="1:3" ht="12.75">
      <c r="A9" t="s">
        <v>9</v>
      </c>
      <c r="B9" s="4" t="s">
        <v>10</v>
      </c>
      <c r="C9" s="10">
        <v>0</v>
      </c>
    </row>
    <row r="10" spans="1:3" ht="12.75">
      <c r="A10" t="s">
        <v>11</v>
      </c>
      <c r="B10" s="4" t="s">
        <v>12</v>
      </c>
      <c r="C10" s="10">
        <v>5</v>
      </c>
    </row>
    <row r="11" spans="1:3" ht="12.75">
      <c r="A11" t="s">
        <v>13</v>
      </c>
      <c r="C11" s="6">
        <v>250</v>
      </c>
    </row>
    <row r="12" spans="1:3" ht="12.75">
      <c r="A12" t="s">
        <v>14</v>
      </c>
      <c r="C12" s="6">
        <v>12</v>
      </c>
    </row>
    <row r="13" ht="12.75">
      <c r="C13" s="8"/>
    </row>
    <row r="14" spans="1:3" ht="12.75">
      <c r="A14" s="7" t="s">
        <v>15</v>
      </c>
      <c r="C14" s="8"/>
    </row>
    <row r="15" spans="1:3" ht="12.75">
      <c r="A15" t="s">
        <v>16</v>
      </c>
      <c r="B15" s="4" t="s">
        <v>12</v>
      </c>
      <c r="C15" s="6">
        <v>0</v>
      </c>
    </row>
    <row r="16" spans="1:3" ht="12.75">
      <c r="A16" t="s">
        <v>17</v>
      </c>
      <c r="B16" s="4" t="s">
        <v>12</v>
      </c>
      <c r="C16" s="6">
        <v>0</v>
      </c>
    </row>
    <row r="17" spans="1:3" ht="12.75">
      <c r="A17" t="s">
        <v>18</v>
      </c>
      <c r="B17" s="4" t="s">
        <v>19</v>
      </c>
      <c r="C17" s="6">
        <v>0</v>
      </c>
    </row>
    <row r="18" spans="1:3" ht="12.75">
      <c r="A18" t="s">
        <v>20</v>
      </c>
      <c r="B18" s="4" t="s">
        <v>21</v>
      </c>
      <c r="C18" s="9">
        <v>0</v>
      </c>
    </row>
    <row r="19" spans="2:3" ht="12.75">
      <c r="B19" s="4"/>
      <c r="C19" s="15"/>
    </row>
    <row r="20" ht="12.75">
      <c r="A20" s="7" t="s">
        <v>22</v>
      </c>
    </row>
    <row r="21" spans="1:3" ht="12.75">
      <c r="A21" t="s">
        <v>23</v>
      </c>
      <c r="B21" s="4" t="s">
        <v>21</v>
      </c>
      <c r="C21" s="9">
        <v>0.15</v>
      </c>
    </row>
    <row r="22" spans="1:3" ht="12.75">
      <c r="A22" t="s">
        <v>24</v>
      </c>
      <c r="B22" s="4" t="s">
        <v>21</v>
      </c>
      <c r="C22" s="9">
        <v>0.02</v>
      </c>
    </row>
    <row r="23" spans="1:3" ht="12.75">
      <c r="A23" t="s">
        <v>25</v>
      </c>
      <c r="B23" s="4" t="s">
        <v>21</v>
      </c>
      <c r="C23" s="9">
        <v>0.02</v>
      </c>
    </row>
    <row r="24" spans="1:3" ht="12.75">
      <c r="A24" t="s">
        <v>26</v>
      </c>
      <c r="B24" s="4" t="s">
        <v>21</v>
      </c>
      <c r="C24" s="9">
        <v>0.01</v>
      </c>
    </row>
    <row r="26" ht="12.75">
      <c r="A26" s="7" t="s">
        <v>27</v>
      </c>
    </row>
    <row r="27" spans="1:3" ht="12.75">
      <c r="A27" t="s">
        <v>28</v>
      </c>
      <c r="B27" s="4" t="s">
        <v>19</v>
      </c>
      <c r="C27" s="10">
        <v>2.09</v>
      </c>
    </row>
    <row r="28" spans="1:3" ht="12.75">
      <c r="A28" t="s">
        <v>29</v>
      </c>
      <c r="B28" s="4" t="s">
        <v>19</v>
      </c>
      <c r="C28" s="10">
        <v>0</v>
      </c>
    </row>
    <row r="29" spans="1:4" ht="12.75">
      <c r="A29" t="s">
        <v>30</v>
      </c>
      <c r="B29" s="4" t="s">
        <v>21</v>
      </c>
      <c r="C29" s="9">
        <v>0.2</v>
      </c>
      <c r="D29" s="11" t="s">
        <v>31</v>
      </c>
    </row>
    <row r="30" spans="1:4" ht="12.75">
      <c r="A30" t="s">
        <v>32</v>
      </c>
      <c r="B30" s="4" t="s">
        <v>21</v>
      </c>
      <c r="C30" s="9">
        <v>0.2</v>
      </c>
      <c r="D30" s="11" t="s">
        <v>31</v>
      </c>
    </row>
    <row r="32" spans="1:4" ht="12.75">
      <c r="A32" t="s">
        <v>33</v>
      </c>
      <c r="B32" s="4" t="s">
        <v>21</v>
      </c>
      <c r="C32" s="9">
        <v>0.06</v>
      </c>
      <c r="D32" t="s">
        <v>34</v>
      </c>
    </row>
    <row r="34" spans="1:4" ht="12.75">
      <c r="A34" t="s">
        <v>35</v>
      </c>
      <c r="B34" s="4" t="s">
        <v>21</v>
      </c>
      <c r="C34" s="9">
        <v>0.8</v>
      </c>
      <c r="D34" t="s">
        <v>36</v>
      </c>
    </row>
    <row r="36" ht="12.75">
      <c r="A36" s="7" t="s">
        <v>40</v>
      </c>
    </row>
    <row r="37" ht="12.75">
      <c r="A37" s="12" t="s">
        <v>37</v>
      </c>
    </row>
    <row r="38" spans="1:3" ht="12.75">
      <c r="A38" t="s">
        <v>38</v>
      </c>
      <c r="B38" s="4" t="s">
        <v>39</v>
      </c>
      <c r="C38" s="13">
        <v>2.08</v>
      </c>
    </row>
    <row r="39" spans="1:3" ht="12.75">
      <c r="A39" t="s">
        <v>41</v>
      </c>
      <c r="B39" s="4" t="s">
        <v>42</v>
      </c>
      <c r="C39" s="13">
        <v>6.5</v>
      </c>
    </row>
    <row r="41" ht="12.75">
      <c r="A41" s="7" t="s">
        <v>43</v>
      </c>
    </row>
    <row r="42" spans="1:3" ht="12.75">
      <c r="A42" t="s">
        <v>44</v>
      </c>
      <c r="B42" s="4" t="s">
        <v>21</v>
      </c>
      <c r="C42" s="9">
        <v>0.2</v>
      </c>
    </row>
    <row r="44" ht="12.75">
      <c r="A44" s="7" t="s">
        <v>45</v>
      </c>
    </row>
    <row r="45" spans="1:3" ht="12.75">
      <c r="A45" t="s">
        <v>46</v>
      </c>
      <c r="B45" s="4" t="s">
        <v>47</v>
      </c>
      <c r="C45" s="13">
        <v>0</v>
      </c>
    </row>
    <row r="46" spans="1:4" ht="12.75">
      <c r="A46" t="s">
        <v>48</v>
      </c>
      <c r="B46" s="4" t="s">
        <v>49</v>
      </c>
      <c r="C46" s="14">
        <v>0.461</v>
      </c>
      <c r="D46" t="s">
        <v>50</v>
      </c>
    </row>
    <row r="47" spans="1:3" ht="12.75">
      <c r="A47" t="s">
        <v>51</v>
      </c>
      <c r="B47" s="4" t="s">
        <v>12</v>
      </c>
      <c r="C47" s="13">
        <v>0</v>
      </c>
    </row>
    <row r="49" spans="1:3" ht="12.75">
      <c r="A49" t="s">
        <v>86</v>
      </c>
      <c r="B49" s="4" t="s">
        <v>21</v>
      </c>
      <c r="C49" s="31">
        <v>0.02</v>
      </c>
    </row>
    <row r="50" spans="2:3" ht="12.75">
      <c r="B50" s="4"/>
      <c r="C50" s="19"/>
    </row>
    <row r="51" spans="1:3" ht="12.75">
      <c r="A51" s="7" t="s">
        <v>103</v>
      </c>
      <c r="B51" s="4"/>
      <c r="C51" s="20"/>
    </row>
    <row r="52" spans="1:4" ht="12.75">
      <c r="A52" t="s">
        <v>104</v>
      </c>
      <c r="B52" s="4" t="s">
        <v>99</v>
      </c>
      <c r="C52" s="13">
        <v>70</v>
      </c>
      <c r="D52" s="46" t="s">
        <v>178</v>
      </c>
    </row>
    <row r="53" spans="2:3" ht="12.75">
      <c r="B53" s="4"/>
      <c r="C53" s="5"/>
    </row>
    <row r="54" ht="12.75">
      <c r="A54" s="7" t="s">
        <v>116</v>
      </c>
    </row>
    <row r="55" spans="1:5" ht="12.75">
      <c r="A55" s="51" t="s">
        <v>24</v>
      </c>
      <c r="B55" s="4" t="s">
        <v>19</v>
      </c>
      <c r="C55" s="10">
        <v>653</v>
      </c>
      <c r="E55" s="52"/>
    </row>
    <row r="56" spans="1:5" ht="12.75">
      <c r="A56" s="51" t="s">
        <v>107</v>
      </c>
      <c r="B56" s="4" t="s">
        <v>19</v>
      </c>
      <c r="C56" s="10">
        <v>1880</v>
      </c>
      <c r="E56" s="52"/>
    </row>
    <row r="57" spans="1:5" ht="12.75">
      <c r="A57" s="51" t="s">
        <v>108</v>
      </c>
      <c r="B57" s="4" t="s">
        <v>19</v>
      </c>
      <c r="C57" s="10">
        <v>768</v>
      </c>
      <c r="E57" s="52"/>
    </row>
    <row r="58" spans="1:5" ht="12.75">
      <c r="A58" s="51" t="s">
        <v>109</v>
      </c>
      <c r="B58" s="4" t="s">
        <v>19</v>
      </c>
      <c r="C58" s="10">
        <v>1228</v>
      </c>
      <c r="E58" s="52"/>
    </row>
    <row r="59" spans="1:5" ht="12.75">
      <c r="A59" s="51" t="s">
        <v>110</v>
      </c>
      <c r="B59" s="4" t="s">
        <v>19</v>
      </c>
      <c r="C59" s="10">
        <v>460</v>
      </c>
      <c r="E59" s="52"/>
    </row>
    <row r="60" spans="1:5" ht="12.75">
      <c r="A60" s="51" t="s">
        <v>111</v>
      </c>
      <c r="B60" s="4" t="s">
        <v>19</v>
      </c>
      <c r="C60" s="10">
        <v>368</v>
      </c>
      <c r="E60" s="52"/>
    </row>
    <row r="61" spans="1:5" ht="12.75">
      <c r="A61" s="51" t="s">
        <v>112</v>
      </c>
      <c r="B61" s="4" t="s">
        <v>19</v>
      </c>
      <c r="C61" s="10">
        <v>618</v>
      </c>
      <c r="E61" s="52"/>
    </row>
    <row r="62" spans="1:5" ht="12.75">
      <c r="A62" s="51" t="s">
        <v>113</v>
      </c>
      <c r="B62" s="4" t="s">
        <v>19</v>
      </c>
      <c r="C62" s="10">
        <v>475</v>
      </c>
      <c r="E62" s="52"/>
    </row>
    <row r="63" spans="1:5" ht="12.75">
      <c r="A63" s="51" t="s">
        <v>25</v>
      </c>
      <c r="B63" s="4" t="s">
        <v>19</v>
      </c>
      <c r="C63" s="10">
        <v>332</v>
      </c>
      <c r="E63" s="52"/>
    </row>
    <row r="64" spans="1:5" ht="12.75">
      <c r="A64" s="51" t="s">
        <v>114</v>
      </c>
      <c r="B64" s="4" t="s">
        <v>19</v>
      </c>
      <c r="C64" s="10">
        <v>1380</v>
      </c>
      <c r="E64" s="52"/>
    </row>
    <row r="65" spans="1:5" ht="12.75">
      <c r="A65" s="51" t="s">
        <v>115</v>
      </c>
      <c r="B65" s="4" t="s">
        <v>19</v>
      </c>
      <c r="C65" s="10">
        <v>184</v>
      </c>
      <c r="E65" s="52"/>
    </row>
    <row r="67" ht="12.75">
      <c r="A67" s="7" t="s">
        <v>117</v>
      </c>
    </row>
    <row r="68" spans="1:6" ht="12.75">
      <c r="A68" s="53" t="s">
        <v>118</v>
      </c>
      <c r="B68" s="54" t="s">
        <v>21</v>
      </c>
      <c r="C68" s="55">
        <v>0.15</v>
      </c>
      <c r="F68" s="18"/>
    </row>
    <row r="69" spans="1:3" ht="12.75">
      <c r="A69" s="53" t="s">
        <v>119</v>
      </c>
      <c r="B69" s="54" t="s">
        <v>21</v>
      </c>
      <c r="C69" s="55">
        <v>0.03</v>
      </c>
    </row>
    <row r="70" spans="1:3" ht="12.75">
      <c r="A70" s="53" t="s">
        <v>120</v>
      </c>
      <c r="B70" s="54" t="s">
        <v>21</v>
      </c>
      <c r="C70" s="55">
        <v>0.0475</v>
      </c>
    </row>
    <row r="72" ht="12.75">
      <c r="A72" s="7" t="s">
        <v>172</v>
      </c>
    </row>
    <row r="73" spans="1:3" ht="12.75">
      <c r="A73" s="53" t="s">
        <v>173</v>
      </c>
      <c r="B73" s="54" t="s">
        <v>21</v>
      </c>
      <c r="C73" s="55">
        <v>0.3</v>
      </c>
    </row>
    <row r="74" spans="1:3" ht="12.75">
      <c r="A74" s="53" t="s">
        <v>174</v>
      </c>
      <c r="B74" s="54" t="s">
        <v>21</v>
      </c>
      <c r="C74" s="55">
        <v>0</v>
      </c>
    </row>
    <row r="76" ht="12.75">
      <c r="A76" s="7" t="s">
        <v>176</v>
      </c>
    </row>
    <row r="77" spans="1:3" ht="12.75">
      <c r="A77" t="s">
        <v>177</v>
      </c>
      <c r="B77" s="54" t="s">
        <v>21</v>
      </c>
      <c r="C77" s="55">
        <v>0.15</v>
      </c>
    </row>
  </sheetData>
  <sheetProtection/>
  <printOptions/>
  <pageMargins left="0.75" right="0.75" top="1" bottom="1" header="0" footer="0"/>
  <pageSetup horizontalDpi="120" verticalDpi="1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4">
      <selection activeCell="C8" sqref="C8"/>
    </sheetView>
  </sheetViews>
  <sheetFormatPr defaultColWidth="11.421875" defaultRowHeight="12.75"/>
  <cols>
    <col min="1" max="1" width="38.421875" style="0" customWidth="1"/>
    <col min="3" max="3" width="13.140625" style="0" customWidth="1"/>
  </cols>
  <sheetData>
    <row r="1" ht="12.75">
      <c r="B1" s="12" t="s">
        <v>53</v>
      </c>
    </row>
    <row r="3" ht="12.75">
      <c r="A3" s="16" t="str">
        <f>Supuestos!A3</f>
        <v>Excavadora Caterpillar 330CL</v>
      </c>
    </row>
    <row r="4" spans="1:3" ht="12.75">
      <c r="A4" s="2" t="s">
        <v>0</v>
      </c>
      <c r="B4" s="2" t="s">
        <v>1</v>
      </c>
      <c r="C4" s="2" t="s">
        <v>2</v>
      </c>
    </row>
    <row r="5" spans="1:3" ht="12.75">
      <c r="A5" t="s">
        <v>55</v>
      </c>
      <c r="B5" s="4" t="s">
        <v>56</v>
      </c>
      <c r="C5" s="17">
        <f>Supuestos!C11*Supuestos!C12</f>
        <v>3000</v>
      </c>
    </row>
    <row r="6" spans="1:5" ht="12.75">
      <c r="A6" t="s">
        <v>57</v>
      </c>
      <c r="B6" s="4" t="s">
        <v>58</v>
      </c>
      <c r="C6" s="17">
        <f>2000*Supuestos!C10</f>
        <v>10000</v>
      </c>
      <c r="E6" t="s">
        <v>190</v>
      </c>
    </row>
    <row r="7" spans="1:3" ht="12.75">
      <c r="A7" t="s">
        <v>59</v>
      </c>
      <c r="B7" s="4" t="s">
        <v>19</v>
      </c>
      <c r="C7" s="17">
        <f>(Supuestos!C8-Supuestos!C9)/Supuestos!C10</f>
        <v>54000</v>
      </c>
    </row>
    <row r="8" spans="1:3" ht="12.75">
      <c r="A8" t="s">
        <v>60</v>
      </c>
      <c r="B8" s="4" t="s">
        <v>19</v>
      </c>
      <c r="C8" s="17">
        <f>C7/C5</f>
        <v>18</v>
      </c>
    </row>
    <row r="9" spans="1:3" ht="12.75">
      <c r="A9" t="s">
        <v>61</v>
      </c>
      <c r="B9" s="4" t="s">
        <v>62</v>
      </c>
      <c r="C9" s="17">
        <f>(Supuestos!C10+1)/(2*Supuestos!C10)*Supuestos!C8-(Supuestos!C9/Supuestos!C8)*((Supuestos!C10+1)/(2*Supuestos!C10)*Supuestos!C8)</f>
        <v>162000</v>
      </c>
    </row>
    <row r="11" spans="1:3" ht="12.75">
      <c r="A11" t="s">
        <v>63</v>
      </c>
      <c r="C11" s="18">
        <f>SUM(Supuestos!C21:C24)</f>
        <v>0.19999999999999998</v>
      </c>
    </row>
    <row r="13" spans="1:3" ht="12.75">
      <c r="A13" t="s">
        <v>85</v>
      </c>
      <c r="B13" s="4" t="s">
        <v>52</v>
      </c>
      <c r="C13" s="17">
        <f>C5*Supuestos!C47</f>
        <v>0</v>
      </c>
    </row>
    <row r="15" ht="12.75">
      <c r="A15" s="50" t="s">
        <v>98</v>
      </c>
    </row>
    <row r="16" spans="1:3" ht="12.75">
      <c r="A16" t="s">
        <v>100</v>
      </c>
      <c r="B16" s="4" t="s">
        <v>19</v>
      </c>
      <c r="C16" s="17">
        <f>'Costo Horario'!C17*Cálculos!C5</f>
        <v>97170</v>
      </c>
    </row>
    <row r="17" spans="2:3" ht="12.75">
      <c r="B17" s="4"/>
      <c r="C17" s="17"/>
    </row>
    <row r="18" spans="1:3" ht="12.75">
      <c r="A18" s="56" t="s">
        <v>121</v>
      </c>
      <c r="B18" s="4" t="s">
        <v>19</v>
      </c>
      <c r="C18" s="17">
        <f>SUM(Supuestos!C55:C65)</f>
        <v>8346</v>
      </c>
    </row>
    <row r="19" spans="2:3" ht="12.75">
      <c r="B19" s="4"/>
      <c r="C19" s="17"/>
    </row>
    <row r="20" spans="1:3" ht="12.75">
      <c r="A20" s="7" t="s">
        <v>117</v>
      </c>
      <c r="B20" s="4"/>
      <c r="C20" s="17"/>
    </row>
    <row r="21" spans="1:3" ht="12.75">
      <c r="A21" t="s">
        <v>122</v>
      </c>
      <c r="B21" s="4" t="s">
        <v>19</v>
      </c>
      <c r="C21" s="17">
        <f>Supuestos!C8*(1-Supuestos!C68)*(1+Supuestos!C69)</f>
        <v>236385</v>
      </c>
    </row>
    <row r="22" ht="12.75">
      <c r="A22" t="s">
        <v>123</v>
      </c>
    </row>
    <row r="23" ht="12.75">
      <c r="A23" t="s">
        <v>124</v>
      </c>
    </row>
    <row r="24" spans="1:3" ht="12.75">
      <c r="A24" t="s">
        <v>125</v>
      </c>
      <c r="B24" s="4" t="s">
        <v>19</v>
      </c>
      <c r="C24" s="17">
        <f>C21/10</f>
        <v>23638.5</v>
      </c>
    </row>
    <row r="25" spans="1:3" ht="12.75">
      <c r="A25" t="s">
        <v>126</v>
      </c>
      <c r="B25" s="4" t="s">
        <v>21</v>
      </c>
      <c r="C25" s="57">
        <f>SQRT(Supuestos!C70+1)-1</f>
        <v>0.02347447452293605</v>
      </c>
    </row>
  </sheetData>
  <sheetProtection password="CB51" sheet="1" objects="1" scenarios="1"/>
  <printOptions/>
  <pageMargins left="0.75" right="0.75" top="1" bottom="1" header="0" footer="0"/>
  <pageSetup horizontalDpi="120" verticalDpi="12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zoomScale="90" zoomScaleNormal="90" zoomScalePageLayoutView="0" workbookViewId="0" topLeftCell="A7">
      <selection activeCell="A24" sqref="A24"/>
    </sheetView>
  </sheetViews>
  <sheetFormatPr defaultColWidth="11.421875" defaultRowHeight="12.75"/>
  <cols>
    <col min="1" max="1" width="38.421875" style="0" customWidth="1"/>
    <col min="2" max="2" width="12.28125" style="0" bestFit="1" customWidth="1"/>
  </cols>
  <sheetData>
    <row r="1" ht="12.75">
      <c r="B1" s="12" t="s">
        <v>64</v>
      </c>
    </row>
    <row r="3" ht="12.75">
      <c r="A3" s="16" t="str">
        <f>Supuestos!A3</f>
        <v>Excavadora Caterpillar 330CL</v>
      </c>
    </row>
    <row r="4" spans="1:3" ht="12.75">
      <c r="A4" s="3" t="str">
        <f>Supuestos!A5</f>
        <v>Potencia (Caballo Vapor)</v>
      </c>
      <c r="B4" s="4" t="str">
        <f>Supuestos!B5</f>
        <v>CV</v>
      </c>
      <c r="C4" s="26">
        <f>Supuestos!C5</f>
        <v>247</v>
      </c>
    </row>
    <row r="5" spans="1:3" ht="12.75">
      <c r="A5" t="str">
        <f>Supuestos!A6</f>
        <v>Peso</v>
      </c>
      <c r="B5" s="4" t="str">
        <f>Supuestos!B6</f>
        <v>Tn</v>
      </c>
      <c r="C5" s="21">
        <f>Supuestos!C6</f>
        <v>35</v>
      </c>
    </row>
    <row r="6" spans="1:3" ht="12.75">
      <c r="A6" t="s">
        <v>65</v>
      </c>
      <c r="B6" s="4" t="s">
        <v>66</v>
      </c>
      <c r="C6" s="17">
        <f>Cálculos!C6</f>
        <v>10000</v>
      </c>
    </row>
    <row r="7" spans="1:3" ht="12.75">
      <c r="A7" t="str">
        <f>Supuestos!A8</f>
        <v>Valor comercial US$</v>
      </c>
      <c r="B7" s="4" t="str">
        <f>Supuestos!B8</f>
        <v>Va</v>
      </c>
      <c r="C7" s="17">
        <f>Supuestos!C8</f>
        <v>270000</v>
      </c>
    </row>
    <row r="8" spans="1:3" ht="13.5" thickBot="1">
      <c r="A8" s="22" t="str">
        <f>Supuestos!A9</f>
        <v>Valor residual US$</v>
      </c>
      <c r="B8" s="23" t="str">
        <f>Supuestos!B9</f>
        <v>Vr</v>
      </c>
      <c r="C8" s="24">
        <f>Supuestos!C9</f>
        <v>0</v>
      </c>
    </row>
    <row r="9" ht="13.5" thickTop="1"/>
    <row r="10" spans="2:3" ht="13.5" thickBot="1">
      <c r="B10" s="25" t="s">
        <v>19</v>
      </c>
      <c r="C10" s="25" t="s">
        <v>67</v>
      </c>
    </row>
    <row r="11" spans="1:3" ht="13.5" thickTop="1">
      <c r="A11" s="7" t="s">
        <v>68</v>
      </c>
      <c r="B11" s="27"/>
      <c r="C11" s="27"/>
    </row>
    <row r="12" spans="1:2" ht="12.75">
      <c r="A12" t="s">
        <v>69</v>
      </c>
      <c r="B12" s="17">
        <f>ROUND(Cálculos!C8,2)</f>
        <v>18</v>
      </c>
    </row>
    <row r="13" spans="1:2" ht="12.75">
      <c r="A13" t="s">
        <v>70</v>
      </c>
      <c r="B13" s="17">
        <f>ROUND((Cálculos!C9*Cálculos!C11*Supuestos!C10)/(Cálculos!C5*Supuestos!C10),2)</f>
        <v>10.8</v>
      </c>
    </row>
    <row r="14" ht="12.75">
      <c r="A14" t="s">
        <v>71</v>
      </c>
    </row>
    <row r="15" spans="1:2" ht="12.75">
      <c r="A15" t="s">
        <v>72</v>
      </c>
      <c r="B15" s="17">
        <f>ROUND(Supuestos!C27+Supuestos!C27*Supuestos!C29,2)</f>
        <v>2.51</v>
      </c>
    </row>
    <row r="16" spans="1:2" ht="12.75">
      <c r="A16" t="s">
        <v>73</v>
      </c>
      <c r="B16" s="17">
        <f>ROUND(Supuestos!C28+Supuestos!C28*Supuestos!C30,2)</f>
        <v>0</v>
      </c>
    </row>
    <row r="17" spans="1:3" ht="13.5" thickBot="1">
      <c r="A17" t="s">
        <v>74</v>
      </c>
      <c r="B17" s="28">
        <f>ROUND(Supuestos!C32*Cálculos!C8,2)</f>
        <v>1.08</v>
      </c>
      <c r="C17" s="28">
        <f>SUM(B12:B17)</f>
        <v>32.39</v>
      </c>
    </row>
    <row r="18" ht="13.5" thickTop="1"/>
    <row r="19" ht="12.75">
      <c r="A19" s="7" t="s">
        <v>75</v>
      </c>
    </row>
    <row r="20" spans="1:2" ht="12.75">
      <c r="A20" t="s">
        <v>76</v>
      </c>
      <c r="B20" s="29">
        <f>ROUND(Supuestos!C34*Cálculos!C8,2)</f>
        <v>14.4</v>
      </c>
    </row>
    <row r="21" spans="1:2" ht="12.75">
      <c r="A21" t="s">
        <v>77</v>
      </c>
      <c r="B21" s="29">
        <f>IF(Supuestos!C15=0,0,ROUND(Supuestos!C15*Supuestos!C17/Supuestos!C16,2))</f>
        <v>0</v>
      </c>
    </row>
    <row r="22" spans="1:2" ht="12.75">
      <c r="A22" t="s">
        <v>78</v>
      </c>
      <c r="B22" s="29">
        <f>ROUND(Supuestos!C18*B21,2)</f>
        <v>0</v>
      </c>
    </row>
    <row r="23" ht="12.75">
      <c r="A23" t="s">
        <v>79</v>
      </c>
    </row>
    <row r="24" spans="1:2" ht="12.75">
      <c r="A24" t="s">
        <v>80</v>
      </c>
      <c r="B24" s="17">
        <f>ROUND(Supuestos!C38*Supuestos!C39,2)</f>
        <v>13.52</v>
      </c>
    </row>
    <row r="25" spans="1:6" ht="12.75">
      <c r="A25" t="s">
        <v>81</v>
      </c>
      <c r="B25" s="17">
        <f>ROUND(Supuestos!C42*B24,2)</f>
        <v>2.7</v>
      </c>
      <c r="F25" s="17"/>
    </row>
    <row r="26" spans="1:2" ht="12.75">
      <c r="A26" t="s">
        <v>82</v>
      </c>
      <c r="B26" s="17">
        <f>IF(Cálculos!C13=0,Cálculos!C13,ROUND(2*(Supuestos!C6*Supuestos!C45*Supuestos!C46)/Cálculos!C13,2))</f>
        <v>0</v>
      </c>
    </row>
    <row r="27" spans="1:3" ht="13.5" thickBot="1">
      <c r="A27" t="s">
        <v>83</v>
      </c>
      <c r="B27" s="28">
        <f>ROUND(Supuestos!C49*SUM(B24:B26),2)</f>
        <v>0.32</v>
      </c>
      <c r="C27" s="28">
        <f>SUM(B20:B27)</f>
        <v>30.94</v>
      </c>
    </row>
    <row r="28" spans="1:3" ht="13.5" thickTop="1">
      <c r="A28" s="30" t="s">
        <v>84</v>
      </c>
      <c r="C28" s="17">
        <f>C17+C27</f>
        <v>63.33</v>
      </c>
    </row>
    <row r="33" ht="12.75">
      <c r="A33" s="34" t="s">
        <v>87</v>
      </c>
    </row>
  </sheetData>
  <sheetProtection password="CB51" sheet="1" objects="1" scenarios="1"/>
  <printOptions/>
  <pageMargins left="0.75" right="0.75" top="1" bottom="1" header="0" footer="0"/>
  <pageSetup horizontalDpi="120" verticalDpi="12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34"/>
  <sheetViews>
    <sheetView tabSelected="1" zoomScalePageLayoutView="0" workbookViewId="0" topLeftCell="D1">
      <selection activeCell="K7" sqref="K7:K12"/>
    </sheetView>
  </sheetViews>
  <sheetFormatPr defaultColWidth="11.421875" defaultRowHeight="12.75"/>
  <cols>
    <col min="1" max="1" width="4.421875" style="0" customWidth="1"/>
    <col min="2" max="2" width="26.57421875" style="0" customWidth="1"/>
    <col min="3" max="3" width="13.140625" style="0" customWidth="1"/>
    <col min="5" max="5" width="3.28125" style="0" customWidth="1"/>
    <col min="6" max="6" width="16.8515625" style="0" customWidth="1"/>
    <col min="7" max="7" width="10.57421875" style="0" customWidth="1"/>
    <col min="8" max="8" width="9.28125" style="0" customWidth="1"/>
    <col min="9" max="9" width="8.7109375" style="0" customWidth="1"/>
    <col min="10" max="10" width="10.00390625" style="0" customWidth="1"/>
    <col min="11" max="11" width="9.57421875" style="0" customWidth="1"/>
  </cols>
  <sheetData>
    <row r="2" ht="12.75">
      <c r="D2" s="12" t="s">
        <v>102</v>
      </c>
    </row>
    <row r="4" spans="2:3" ht="12.75">
      <c r="B4" s="8"/>
      <c r="C4" s="5"/>
    </row>
    <row r="6" spans="2:6" ht="12.75">
      <c r="B6" t="s">
        <v>106</v>
      </c>
      <c r="F6" t="s">
        <v>88</v>
      </c>
    </row>
    <row r="7" spans="2:11" ht="13.5">
      <c r="B7" s="35" t="s">
        <v>101</v>
      </c>
      <c r="C7" s="36">
        <f>Supuestos!C52</f>
        <v>70</v>
      </c>
      <c r="D7" s="46" t="s">
        <v>179</v>
      </c>
      <c r="F7" s="35" t="s">
        <v>89</v>
      </c>
      <c r="G7" s="37">
        <v>0</v>
      </c>
      <c r="H7" s="37">
        <f>+I7/2</f>
        <v>1243.8556067588324</v>
      </c>
      <c r="I7" s="38">
        <f>+C10</f>
        <v>2487.711213517665</v>
      </c>
      <c r="J7" s="37">
        <f>+I7+I7-H7</f>
        <v>3731.5668202764973</v>
      </c>
      <c r="K7" s="39">
        <f>+J7+J7-I7</f>
        <v>4975.42242703533</v>
      </c>
    </row>
    <row r="8" spans="2:11" ht="13.5">
      <c r="B8" s="40" t="s">
        <v>90</v>
      </c>
      <c r="C8" s="41">
        <f>'Costo Horario'!C27</f>
        <v>30.94</v>
      </c>
      <c r="F8" s="40" t="s">
        <v>91</v>
      </c>
      <c r="G8" s="42">
        <f>+G7*$C$7</f>
        <v>0</v>
      </c>
      <c r="H8" s="42">
        <f>+H7*$C$7</f>
        <v>87069.89247311826</v>
      </c>
      <c r="I8" s="42">
        <f>+I7*$C$7</f>
        <v>174139.78494623653</v>
      </c>
      <c r="J8" s="42">
        <f>+J7*$C$7</f>
        <v>261209.67741935482</v>
      </c>
      <c r="K8" s="43">
        <f>+K7*$C$7</f>
        <v>348279.56989247305</v>
      </c>
    </row>
    <row r="9" spans="2:11" ht="13.5">
      <c r="B9" s="40" t="s">
        <v>100</v>
      </c>
      <c r="C9" s="41">
        <f>Cálculos!C16</f>
        <v>97170</v>
      </c>
      <c r="F9" s="40" t="s">
        <v>93</v>
      </c>
      <c r="G9" s="42">
        <f>+G7*$C$8</f>
        <v>0</v>
      </c>
      <c r="H9" s="42">
        <f>+H7*$C$8</f>
        <v>38484.89247311828</v>
      </c>
      <c r="I9" s="42">
        <f>+I7*$C$8</f>
        <v>76969.78494623656</v>
      </c>
      <c r="J9" s="42">
        <f>+J7*$C$8</f>
        <v>115454.67741935483</v>
      </c>
      <c r="K9" s="43">
        <f>+K7*$C$8</f>
        <v>153939.5698924731</v>
      </c>
    </row>
    <row r="10" spans="2:11" ht="13.5">
      <c r="B10" s="44" t="s">
        <v>94</v>
      </c>
      <c r="C10" s="45">
        <f>+C9/(C7-C8)</f>
        <v>2487.711213517665</v>
      </c>
      <c r="D10" s="46" t="s">
        <v>105</v>
      </c>
      <c r="F10" s="40" t="s">
        <v>92</v>
      </c>
      <c r="G10" s="42">
        <f>+$C$9</f>
        <v>97170</v>
      </c>
      <c r="H10" s="42">
        <f>+$C$9</f>
        <v>97170</v>
      </c>
      <c r="I10" s="42">
        <f>+$C$9</f>
        <v>97170</v>
      </c>
      <c r="J10" s="42">
        <f>+$C$9</f>
        <v>97170</v>
      </c>
      <c r="K10" s="43">
        <f>+$C$9</f>
        <v>97170</v>
      </c>
    </row>
    <row r="11" spans="6:11" ht="13.5">
      <c r="F11" s="40" t="s">
        <v>95</v>
      </c>
      <c r="G11" s="42">
        <f>+G9+G10</f>
        <v>97170</v>
      </c>
      <c r="H11" s="42">
        <f>+H9+H10</f>
        <v>135654.89247311826</v>
      </c>
      <c r="I11" s="42">
        <f>+I9+I10</f>
        <v>174139.78494623656</v>
      </c>
      <c r="J11" s="42">
        <f>+J9+J10</f>
        <v>212624.67741935485</v>
      </c>
      <c r="K11" s="43">
        <f>+K9+K10</f>
        <v>251109.5698924731</v>
      </c>
    </row>
    <row r="12" spans="6:11" ht="13.5">
      <c r="F12" s="44" t="s">
        <v>96</v>
      </c>
      <c r="G12" s="47">
        <f>+G8-G11</f>
        <v>-97170</v>
      </c>
      <c r="H12" s="47">
        <f>+H8-H11</f>
        <v>-48585</v>
      </c>
      <c r="I12" s="48">
        <f>+I8-I11</f>
        <v>0</v>
      </c>
      <c r="J12" s="47">
        <f>+J8-J11</f>
        <v>48584.99999999997</v>
      </c>
      <c r="K12" s="49">
        <f>+K8-K11</f>
        <v>97169.99999999994</v>
      </c>
    </row>
    <row r="14" ht="12.75">
      <c r="B14" t="s">
        <v>97</v>
      </c>
    </row>
    <row r="34" ht="12.75">
      <c r="B34" s="34" t="s">
        <v>87</v>
      </c>
    </row>
  </sheetData>
  <sheetProtection password="CB51" sheet="1" objects="1" scenarios="1"/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7109375" style="0" customWidth="1"/>
  </cols>
  <sheetData>
    <row r="2" ht="12.75">
      <c r="C2" s="56" t="s">
        <v>135</v>
      </c>
    </row>
    <row r="3" ht="13.5" thickBot="1"/>
    <row r="4" spans="1:6" ht="12.75">
      <c r="A4" s="64" t="s">
        <v>134</v>
      </c>
      <c r="B4" s="64" t="s">
        <v>127</v>
      </c>
      <c r="C4" s="64" t="s">
        <v>129</v>
      </c>
      <c r="D4" s="64" t="s">
        <v>130</v>
      </c>
      <c r="E4" s="64" t="s">
        <v>131</v>
      </c>
      <c r="F4" s="65" t="s">
        <v>132</v>
      </c>
    </row>
    <row r="5" spans="1:6" ht="13.5" thickBot="1">
      <c r="A5" s="66" t="s">
        <v>136</v>
      </c>
      <c r="B5" s="66" t="s">
        <v>128</v>
      </c>
      <c r="C5" s="66" t="s">
        <v>128</v>
      </c>
      <c r="D5" s="66" t="s">
        <v>129</v>
      </c>
      <c r="E5" s="66" t="s">
        <v>128</v>
      </c>
      <c r="F5" s="67" t="s">
        <v>133</v>
      </c>
    </row>
    <row r="6" spans="1:6" ht="12.75">
      <c r="A6" s="58">
        <v>1</v>
      </c>
      <c r="B6" s="60">
        <f>Cálculos!C24</f>
        <v>23638.5</v>
      </c>
      <c r="C6" s="60">
        <f>Cálculos!$C$25*Cálculos!C21</f>
        <v>5549.013660104239</v>
      </c>
      <c r="D6" s="60">
        <f>C6</f>
        <v>5549.013660104239</v>
      </c>
      <c r="E6" s="60">
        <f>B6+C6</f>
        <v>29187.51366010424</v>
      </c>
      <c r="F6" s="61">
        <f>Cálculos!C21-B6</f>
        <v>212746.5</v>
      </c>
    </row>
    <row r="7" spans="1:6" ht="12.75">
      <c r="A7" s="58">
        <v>2</v>
      </c>
      <c r="B7" s="60">
        <f>Cálculos!C24</f>
        <v>23638.5</v>
      </c>
      <c r="C7" s="60">
        <f>Cálculos!$C$25*F6</f>
        <v>4994.112294093815</v>
      </c>
      <c r="D7" s="60">
        <f>SUM(C6:C7)</f>
        <v>10543.125954198054</v>
      </c>
      <c r="E7" s="60">
        <f aca="true" t="shared" si="0" ref="E7:E15">B7+C7</f>
        <v>28632.612294093815</v>
      </c>
      <c r="F7" s="61">
        <f>F6-B7</f>
        <v>189108</v>
      </c>
    </row>
    <row r="8" spans="1:6" ht="12.75">
      <c r="A8" s="58">
        <v>3</v>
      </c>
      <c r="B8" s="60">
        <f>Cálculos!C24</f>
        <v>23638.5</v>
      </c>
      <c r="C8" s="60">
        <f>Cálculos!$C$25*F7</f>
        <v>4439.210928083391</v>
      </c>
      <c r="D8" s="60">
        <f>SUM(C6:C8)</f>
        <v>14982.336882281445</v>
      </c>
      <c r="E8" s="60">
        <f t="shared" si="0"/>
        <v>28077.71092808339</v>
      </c>
      <c r="F8" s="61">
        <f aca="true" t="shared" si="1" ref="F8:F15">F7-B8</f>
        <v>165469.5</v>
      </c>
    </row>
    <row r="9" spans="1:6" ht="12.75">
      <c r="A9" s="58">
        <v>4</v>
      </c>
      <c r="B9" s="60">
        <f>Cálculos!C24</f>
        <v>23638.5</v>
      </c>
      <c r="C9" s="60">
        <f>Cálculos!$C$25*F8</f>
        <v>3884.309562072967</v>
      </c>
      <c r="D9" s="60">
        <f>SUM(C6:C9)</f>
        <v>18866.64644435441</v>
      </c>
      <c r="E9" s="60">
        <f t="shared" si="0"/>
        <v>27522.809562072965</v>
      </c>
      <c r="F9" s="61">
        <f t="shared" si="1"/>
        <v>141831</v>
      </c>
    </row>
    <row r="10" spans="1:6" ht="12.75">
      <c r="A10" s="58">
        <v>5</v>
      </c>
      <c r="B10" s="60">
        <f>Cálculos!C24</f>
        <v>23638.5</v>
      </c>
      <c r="C10" s="60">
        <f>Cálculos!$C$25*F9</f>
        <v>3329.408196062543</v>
      </c>
      <c r="D10" s="60">
        <f>SUM(C6:C10)</f>
        <v>22196.054640416954</v>
      </c>
      <c r="E10" s="60">
        <f t="shared" si="0"/>
        <v>26967.908196062544</v>
      </c>
      <c r="F10" s="61">
        <f t="shared" si="1"/>
        <v>118192.5</v>
      </c>
    </row>
    <row r="11" spans="1:6" ht="12.75">
      <c r="A11" s="58">
        <v>6</v>
      </c>
      <c r="B11" s="60">
        <f>Cálculos!C24</f>
        <v>23638.5</v>
      </c>
      <c r="C11" s="60">
        <f>Cálculos!$C$25*F10</f>
        <v>2774.5068300521193</v>
      </c>
      <c r="D11" s="60">
        <f>SUM(C6:C11)</f>
        <v>24970.561470469074</v>
      </c>
      <c r="E11" s="60">
        <f t="shared" si="0"/>
        <v>26413.00683005212</v>
      </c>
      <c r="F11" s="61">
        <f t="shared" si="1"/>
        <v>94554</v>
      </c>
    </row>
    <row r="12" spans="1:6" ht="12.75">
      <c r="A12" s="58">
        <v>7</v>
      </c>
      <c r="B12" s="60">
        <f>Cálculos!C24</f>
        <v>23638.5</v>
      </c>
      <c r="C12" s="60">
        <f>Cálculos!$C$25*F11</f>
        <v>2219.6054640416955</v>
      </c>
      <c r="D12" s="60">
        <f>SUM(C6:C12)</f>
        <v>27190.16693451077</v>
      </c>
      <c r="E12" s="60">
        <f t="shared" si="0"/>
        <v>25858.105464041695</v>
      </c>
      <c r="F12" s="61">
        <f t="shared" si="1"/>
        <v>70915.5</v>
      </c>
    </row>
    <row r="13" spans="1:6" ht="12.75">
      <c r="A13" s="58">
        <v>8</v>
      </c>
      <c r="B13" s="60">
        <f>Cálculos!C24</f>
        <v>23638.5</v>
      </c>
      <c r="C13" s="60">
        <f>Cálculos!$C$25*F12</f>
        <v>1664.7040980312715</v>
      </c>
      <c r="D13" s="60">
        <f>SUM(C6:C13)</f>
        <v>28854.87103254204</v>
      </c>
      <c r="E13" s="60">
        <f t="shared" si="0"/>
        <v>25303.20409803127</v>
      </c>
      <c r="F13" s="61">
        <f t="shared" si="1"/>
        <v>47277</v>
      </c>
    </row>
    <row r="14" spans="1:6" ht="12.75">
      <c r="A14" s="58">
        <v>9</v>
      </c>
      <c r="B14" s="60">
        <f>Cálculos!C24</f>
        <v>23638.5</v>
      </c>
      <c r="C14" s="60">
        <f>Cálculos!$C$25*F13</f>
        <v>1109.8027320208478</v>
      </c>
      <c r="D14" s="60">
        <f>SUM(C6:C14)</f>
        <v>29964.67376456289</v>
      </c>
      <c r="E14" s="60">
        <f t="shared" si="0"/>
        <v>24748.30273202085</v>
      </c>
      <c r="F14" s="61">
        <f t="shared" si="1"/>
        <v>23638.5</v>
      </c>
    </row>
    <row r="15" spans="1:6" ht="13.5" thickBot="1">
      <c r="A15" s="59">
        <v>10</v>
      </c>
      <c r="B15" s="62">
        <f>Cálculos!C24</f>
        <v>23638.5</v>
      </c>
      <c r="C15" s="62">
        <f>Cálculos!$C$25*F14</f>
        <v>554.9013660104239</v>
      </c>
      <c r="D15" s="62">
        <f>SUM(C6:C15)</f>
        <v>30519.575130573314</v>
      </c>
      <c r="E15" s="62">
        <f t="shared" si="0"/>
        <v>24193.401366010425</v>
      </c>
      <c r="F15" s="63">
        <f t="shared" si="1"/>
        <v>0</v>
      </c>
    </row>
    <row r="19" ht="12.75">
      <c r="B19" s="34" t="s">
        <v>137</v>
      </c>
    </row>
  </sheetData>
  <sheetProtection password="CB51" sheet="1" objects="1" scenarios="1"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L63"/>
  <sheetViews>
    <sheetView zoomScalePageLayoutView="0" workbookViewId="0" topLeftCell="B13">
      <selection activeCell="A13" sqref="A13:G29"/>
    </sheetView>
  </sheetViews>
  <sheetFormatPr defaultColWidth="11.421875" defaultRowHeight="12.75"/>
  <cols>
    <col min="1" max="1" width="34.28125" style="0" customWidth="1"/>
    <col min="2" max="4" width="11.57421875" style="0" customWidth="1"/>
    <col min="5" max="5" width="11.8515625" style="0" customWidth="1"/>
    <col min="6" max="6" width="11.57421875" style="0" customWidth="1"/>
    <col min="7" max="7" width="11.7109375" style="0" customWidth="1"/>
  </cols>
  <sheetData>
    <row r="2" ht="12.75">
      <c r="A2" s="68" t="s">
        <v>138</v>
      </c>
    </row>
    <row r="3" ht="12.75">
      <c r="A3" t="s">
        <v>169</v>
      </c>
    </row>
    <row r="4" spans="1:3" ht="12.75">
      <c r="A4" t="s">
        <v>139</v>
      </c>
      <c r="B4" s="4" t="s">
        <v>19</v>
      </c>
      <c r="C4" s="27"/>
    </row>
    <row r="5" spans="1:4" ht="12.75">
      <c r="A5" s="69" t="s">
        <v>170</v>
      </c>
      <c r="B5" s="70">
        <f>Supuestos!C8</f>
        <v>270000</v>
      </c>
      <c r="C5" s="8"/>
      <c r="D5" s="80"/>
    </row>
    <row r="6" spans="1:4" ht="12.75">
      <c r="A6" s="71" t="s">
        <v>140</v>
      </c>
      <c r="B6" s="72">
        <f>Supuestos!C9</f>
        <v>0</v>
      </c>
      <c r="C6" s="8"/>
      <c r="D6" s="80"/>
    </row>
    <row r="7" spans="1:4" ht="12.75">
      <c r="A7" s="71" t="s">
        <v>141</v>
      </c>
      <c r="B7" s="73" t="s">
        <v>180</v>
      </c>
      <c r="C7" s="54"/>
      <c r="D7" s="80"/>
    </row>
    <row r="8" spans="1:4" ht="12.75">
      <c r="A8" s="71" t="s">
        <v>142</v>
      </c>
      <c r="B8" s="72">
        <f>(B5-B6)/5</f>
        <v>54000</v>
      </c>
      <c r="C8" s="5"/>
      <c r="D8" s="80"/>
    </row>
    <row r="9" spans="1:4" ht="12.75">
      <c r="A9" s="74" t="s">
        <v>143</v>
      </c>
      <c r="B9" s="75">
        <f>(B5-B6)/10</f>
        <v>27000</v>
      </c>
      <c r="C9" s="5"/>
      <c r="D9" s="80"/>
    </row>
    <row r="10" spans="1:3" ht="12.75">
      <c r="A10" s="76"/>
      <c r="B10" s="5"/>
      <c r="C10" s="5"/>
    </row>
    <row r="11" spans="1:3" ht="12.75">
      <c r="A11" s="76"/>
      <c r="B11" s="5"/>
      <c r="C11" s="5"/>
    </row>
    <row r="12" ht="12.75">
      <c r="C12" s="16" t="s">
        <v>144</v>
      </c>
    </row>
    <row r="13" spans="1:7" ht="12.75">
      <c r="A13" s="77" t="s">
        <v>145</v>
      </c>
      <c r="B13" s="78" t="s">
        <v>146</v>
      </c>
      <c r="C13" s="78" t="s">
        <v>147</v>
      </c>
      <c r="D13" s="78" t="s">
        <v>148</v>
      </c>
      <c r="E13" s="78" t="s">
        <v>149</v>
      </c>
      <c r="F13" s="78" t="s">
        <v>150</v>
      </c>
      <c r="G13" s="95" t="s">
        <v>151</v>
      </c>
    </row>
    <row r="14" spans="1:7" ht="12.75">
      <c r="A14" s="79" t="s">
        <v>152</v>
      </c>
      <c r="B14" s="29">
        <f>-Supuestos!C68*Supuestos!C8</f>
        <v>-40500</v>
      </c>
      <c r="C14" s="80"/>
      <c r="D14" s="80"/>
      <c r="E14" s="80"/>
      <c r="F14" s="80"/>
      <c r="G14" s="96"/>
    </row>
    <row r="15" spans="1:7" ht="12.75">
      <c r="A15" s="79" t="s">
        <v>153</v>
      </c>
      <c r="B15" s="80"/>
      <c r="C15" s="29">
        <f>Supuestos!$C$52*Cálculos!$C$5</f>
        <v>210000</v>
      </c>
      <c r="D15" s="29">
        <f>Supuestos!$C$52*Cálculos!$C$5</f>
        <v>210000</v>
      </c>
      <c r="E15" s="29">
        <f>Supuestos!$C$52*Cálculos!$C$5</f>
        <v>210000</v>
      </c>
      <c r="F15" s="29">
        <f>Supuestos!$C$52*Cálculos!$C$5</f>
        <v>210000</v>
      </c>
      <c r="G15" s="97">
        <f>Supuestos!$C$52*Cálculos!$C$5</f>
        <v>210000</v>
      </c>
    </row>
    <row r="16" spans="1:7" ht="12.75">
      <c r="A16" s="79" t="s">
        <v>154</v>
      </c>
      <c r="B16" s="80"/>
      <c r="C16" s="29">
        <f>-(SUM('Costo Horario'!$B$15:$B$17)+'Costo Horario'!$C$27)*Cálculos!$C$5</f>
        <v>-103590</v>
      </c>
      <c r="D16" s="29">
        <f>-(SUM('Costo Horario'!$B$15:$B$17)+'Costo Horario'!$C$27)*Cálculos!$C$5</f>
        <v>-103590</v>
      </c>
      <c r="E16" s="29">
        <f>-(SUM('Costo Horario'!$B$15:$B$17)+'Costo Horario'!$C$27)*Cálculos!$C$5</f>
        <v>-103590</v>
      </c>
      <c r="F16" s="29">
        <f>-(SUM('Costo Horario'!$B$15:$B$17)+'Costo Horario'!$C$27)*Cálculos!$C$5</f>
        <v>-103590</v>
      </c>
      <c r="G16" s="97">
        <f>-(SUM('Costo Horario'!$B$15:$B$17)+'Costo Horario'!$C$27)*Cálculos!$C$5</f>
        <v>-103590</v>
      </c>
    </row>
    <row r="17" spans="1:7" ht="12.75">
      <c r="A17" s="79" t="s">
        <v>155</v>
      </c>
      <c r="B17" s="80"/>
      <c r="C17" s="29">
        <f>-Cálculos!$C$18</f>
        <v>-8346</v>
      </c>
      <c r="D17" s="29">
        <f>-Cálculos!$C$18</f>
        <v>-8346</v>
      </c>
      <c r="E17" s="29">
        <f>-Cálculos!$C$18</f>
        <v>-8346</v>
      </c>
      <c r="F17" s="29">
        <f>-Cálculos!$C$18</f>
        <v>-8346</v>
      </c>
      <c r="G17" s="97">
        <f>-Cálculos!$C$18</f>
        <v>-8346</v>
      </c>
    </row>
    <row r="18" spans="1:7" ht="12.75">
      <c r="A18" s="81" t="s">
        <v>156</v>
      </c>
      <c r="B18" s="82"/>
      <c r="C18" s="83">
        <f>SUM(C15:C17)</f>
        <v>98064</v>
      </c>
      <c r="D18" s="83">
        <f>SUM(D15:D17)</f>
        <v>98064</v>
      </c>
      <c r="E18" s="83">
        <f>SUM(E15:E17)</f>
        <v>98064</v>
      </c>
      <c r="F18" s="83">
        <f>SUM(F15:F17)</f>
        <v>98064</v>
      </c>
      <c r="G18" s="98">
        <f>SUM(G15:G17)</f>
        <v>98064</v>
      </c>
    </row>
    <row r="19" spans="1:7" ht="12.75">
      <c r="A19" s="84" t="s">
        <v>157</v>
      </c>
      <c r="B19" s="8"/>
      <c r="C19" s="5">
        <f>-$B$8</f>
        <v>-54000</v>
      </c>
      <c r="D19" s="5">
        <f>-$B$8</f>
        <v>-54000</v>
      </c>
      <c r="E19" s="5">
        <f>-$B$8</f>
        <v>-54000</v>
      </c>
      <c r="F19" s="5">
        <f>-$B$8</f>
        <v>-54000</v>
      </c>
      <c r="G19" s="99">
        <f>-$B$8</f>
        <v>-54000</v>
      </c>
    </row>
    <row r="20" spans="1:7" ht="12.75">
      <c r="A20" s="79" t="s">
        <v>171</v>
      </c>
      <c r="B20" s="80"/>
      <c r="C20" s="85">
        <f>-(Loan!C6+Loan!C7)</f>
        <v>-10543.125954198054</v>
      </c>
      <c r="D20" s="85">
        <f>-(Loan!C8+Loan!C9)</f>
        <v>-8323.520490156357</v>
      </c>
      <c r="E20" s="85">
        <f>-(Loan!C10+Loan!C11)</f>
        <v>-6103.915026114662</v>
      </c>
      <c r="F20" s="85">
        <f>-(Loan!C12+Loan!C13)</f>
        <v>-3884.3095620729673</v>
      </c>
      <c r="G20" s="100">
        <f>-(Loan!C14+Loan!C15)</f>
        <v>-1664.7040980312718</v>
      </c>
    </row>
    <row r="21" spans="1:7" ht="12.75">
      <c r="A21" s="81" t="s">
        <v>158</v>
      </c>
      <c r="B21" s="82"/>
      <c r="C21" s="83">
        <f>SUM(C18:C20)</f>
        <v>33520.874045801946</v>
      </c>
      <c r="D21" s="83">
        <f>SUM(D18:D20)</f>
        <v>35740.479509843644</v>
      </c>
      <c r="E21" s="83">
        <f>SUM(E18:E20)</f>
        <v>37960.084973885336</v>
      </c>
      <c r="F21" s="83">
        <f>SUM(F18:F20)</f>
        <v>40179.690437927035</v>
      </c>
      <c r="G21" s="98">
        <f>SUM(G18:G20)</f>
        <v>42399.295901968726</v>
      </c>
    </row>
    <row r="22" spans="1:7" ht="12.75">
      <c r="A22" s="79" t="s">
        <v>159</v>
      </c>
      <c r="B22" s="80"/>
      <c r="C22" s="29">
        <f>IF(C21&lt;0,0,-Supuestos!$C$73*Evaluación!C21)</f>
        <v>-10056.262213740583</v>
      </c>
      <c r="D22" s="29">
        <f>IF(D21&lt;0,0,-Supuestos!$C$73*Evaluación!D21)</f>
        <v>-10722.143852953093</v>
      </c>
      <c r="E22" s="29">
        <f>IF(E21&lt;0,0,-Supuestos!$C$73*Evaluación!E21)</f>
        <v>-11388.0254921656</v>
      </c>
      <c r="F22" s="29">
        <f>IF(F21&lt;0,0,-Supuestos!$C$73*Evaluación!F21)</f>
        <v>-12053.90713137811</v>
      </c>
      <c r="G22" s="97">
        <f>IF(G21&lt;0,0,-Supuestos!$C$73*Evaluación!G21)</f>
        <v>-12719.788770590618</v>
      </c>
    </row>
    <row r="23" spans="1:7" ht="12.75">
      <c r="A23" s="81" t="s">
        <v>160</v>
      </c>
      <c r="B23" s="82"/>
      <c r="C23" s="83">
        <f>SUM(C21:C22)</f>
        <v>23464.61183206136</v>
      </c>
      <c r="D23" s="83">
        <f>SUM(D21:D22)</f>
        <v>25018.33565689055</v>
      </c>
      <c r="E23" s="83">
        <f>SUM(E21:E22)</f>
        <v>26572.059481719734</v>
      </c>
      <c r="F23" s="83">
        <f>SUM(F21:F22)</f>
        <v>28125.783306548925</v>
      </c>
      <c r="G23" s="98">
        <f>SUM(G21:G22)</f>
        <v>29679.507131378108</v>
      </c>
    </row>
    <row r="24" spans="1:7" ht="12.75">
      <c r="A24" s="79" t="s">
        <v>161</v>
      </c>
      <c r="B24" s="80"/>
      <c r="C24" s="29">
        <f>IF(C23&lt;0,0,-Supuestos!$C$74*Evaluación!C23)</f>
        <v>0</v>
      </c>
      <c r="D24" s="29">
        <f>IF(D23&lt;0,0,-Supuestos!$C$74*Evaluación!D23)</f>
        <v>0</v>
      </c>
      <c r="E24" s="29">
        <f>IF(E23&lt;0,0,-Supuestos!$C$74*Evaluación!E23)</f>
        <v>0</v>
      </c>
      <c r="F24" s="29">
        <f>IF(F23&lt;0,0,-Supuestos!$C$74*Evaluación!F23)</f>
        <v>0</v>
      </c>
      <c r="G24" s="97">
        <f>IF(G23&lt;0,0,-Supuestos!$C$74*Evaluación!G23)</f>
        <v>0</v>
      </c>
    </row>
    <row r="25" spans="1:7" ht="12.75">
      <c r="A25" s="81" t="s">
        <v>162</v>
      </c>
      <c r="B25" s="82"/>
      <c r="C25" s="83">
        <f>SUM(C23:C24)</f>
        <v>23464.61183206136</v>
      </c>
      <c r="D25" s="83">
        <f>SUM(D23:D24)</f>
        <v>25018.33565689055</v>
      </c>
      <c r="E25" s="83">
        <f>SUM(E23:E24)</f>
        <v>26572.059481719734</v>
      </c>
      <c r="F25" s="83">
        <f>SUM(F23:F24)</f>
        <v>28125.783306548925</v>
      </c>
      <c r="G25" s="98">
        <f>SUM(G23:G24)</f>
        <v>29679.507131378108</v>
      </c>
    </row>
    <row r="26" spans="1:7" ht="12.75">
      <c r="A26" s="79" t="s">
        <v>163</v>
      </c>
      <c r="B26" s="80"/>
      <c r="C26" s="5">
        <f>$B$8</f>
        <v>54000</v>
      </c>
      <c r="D26" s="5">
        <f>$B$8</f>
        <v>54000</v>
      </c>
      <c r="E26" s="5">
        <f>$B$8</f>
        <v>54000</v>
      </c>
      <c r="F26" s="5">
        <f>$B$8</f>
        <v>54000</v>
      </c>
      <c r="G26" s="99">
        <f>$B$8</f>
        <v>54000</v>
      </c>
    </row>
    <row r="27" spans="1:7" ht="12.75">
      <c r="A27" s="84" t="s">
        <v>175</v>
      </c>
      <c r="B27" s="80"/>
      <c r="C27" s="29">
        <f>-(Loan!B6+Loan!B7)</f>
        <v>-47277</v>
      </c>
      <c r="D27" s="29">
        <f>-(Loan!B8+Loan!B9)</f>
        <v>-47277</v>
      </c>
      <c r="E27" s="29">
        <f>-(Loan!B10+Loan!B11)</f>
        <v>-47277</v>
      </c>
      <c r="F27" s="29">
        <f>-(Loan!B12+Loan!B13)</f>
        <v>-47277</v>
      </c>
      <c r="G27" s="97">
        <f>-(Loan!B14+Loan!B15)</f>
        <v>-47277</v>
      </c>
    </row>
    <row r="28" spans="1:7" ht="12.75">
      <c r="A28" s="84" t="s">
        <v>164</v>
      </c>
      <c r="B28" s="80"/>
      <c r="C28" s="29"/>
      <c r="D28" s="29"/>
      <c r="E28" s="29"/>
      <c r="F28" s="29"/>
      <c r="G28" s="97">
        <f>$B$6</f>
        <v>0</v>
      </c>
    </row>
    <row r="29" spans="1:7" ht="12.75">
      <c r="A29" s="86" t="s">
        <v>165</v>
      </c>
      <c r="B29" s="83">
        <f>B14</f>
        <v>-40500</v>
      </c>
      <c r="C29" s="83">
        <f>SUM(C25:C28)</f>
        <v>30187.61183206136</v>
      </c>
      <c r="D29" s="83">
        <f>SUM(D25:D28)</f>
        <v>31741.33565689056</v>
      </c>
      <c r="E29" s="83">
        <f>SUM(E25:E28)</f>
        <v>33295.05948171974</v>
      </c>
      <c r="F29" s="83">
        <f>SUM(F25:F28)</f>
        <v>34848.783306548925</v>
      </c>
      <c r="G29" s="98">
        <f>SUM(G25:G28)</f>
        <v>36402.50713137811</v>
      </c>
    </row>
    <row r="31" ht="12.75">
      <c r="A31" s="16" t="s">
        <v>166</v>
      </c>
    </row>
    <row r="32" spans="1:4" ht="12.75">
      <c r="A32" s="87" t="s">
        <v>167</v>
      </c>
      <c r="B32" s="88">
        <f>Supuestos!C77</f>
        <v>0.15</v>
      </c>
      <c r="C32" s="89">
        <f>NPV(B32,B29:G29)</f>
        <v>60579.5946743726</v>
      </c>
      <c r="D32" s="90" t="s">
        <v>19</v>
      </c>
    </row>
    <row r="33" spans="1:4" ht="12.75">
      <c r="A33" s="91" t="s">
        <v>168</v>
      </c>
      <c r="B33" s="94">
        <f>IRR(B29:G29,B32)</f>
        <v>0.7345897210139536</v>
      </c>
      <c r="C33" s="92"/>
      <c r="D33" s="93"/>
    </row>
    <row r="36" ht="12.75">
      <c r="C36" s="16" t="s">
        <v>186</v>
      </c>
    </row>
    <row r="37" spans="1:12" ht="12.75">
      <c r="A37" s="77" t="s">
        <v>145</v>
      </c>
      <c r="B37" s="78" t="s">
        <v>146</v>
      </c>
      <c r="C37" s="78" t="s">
        <v>147</v>
      </c>
      <c r="D37" s="78" t="s">
        <v>148</v>
      </c>
      <c r="E37" s="78" t="s">
        <v>149</v>
      </c>
      <c r="F37" s="78" t="s">
        <v>150</v>
      </c>
      <c r="G37" s="78" t="s">
        <v>151</v>
      </c>
      <c r="H37" s="78" t="s">
        <v>181</v>
      </c>
      <c r="I37" s="78" t="s">
        <v>182</v>
      </c>
      <c r="J37" s="78" t="s">
        <v>183</v>
      </c>
      <c r="K37" s="78" t="s">
        <v>184</v>
      </c>
      <c r="L37" s="95" t="s">
        <v>185</v>
      </c>
    </row>
    <row r="38" spans="1:12" ht="12.75">
      <c r="A38" s="79" t="s">
        <v>152</v>
      </c>
      <c r="B38" s="29">
        <f>-Supuestos!C68*Supuestos!C8</f>
        <v>-40500</v>
      </c>
      <c r="C38" s="80"/>
      <c r="D38" s="80"/>
      <c r="E38" s="80"/>
      <c r="F38" s="80"/>
      <c r="G38" s="80"/>
      <c r="H38" s="80"/>
      <c r="I38" s="80"/>
      <c r="J38" s="80"/>
      <c r="K38" s="80"/>
      <c r="L38" s="96"/>
    </row>
    <row r="39" spans="1:12" ht="12.75">
      <c r="A39" s="79" t="s">
        <v>153</v>
      </c>
      <c r="B39" s="80"/>
      <c r="C39" s="29">
        <f>Supuestos!$C$52*Cálculos!$C$5</f>
        <v>210000</v>
      </c>
      <c r="D39" s="29">
        <f>Supuestos!$C$52*Cálculos!$C$5</f>
        <v>210000</v>
      </c>
      <c r="E39" s="29">
        <f>Supuestos!$C$52*Cálculos!$C$5</f>
        <v>210000</v>
      </c>
      <c r="F39" s="29">
        <f>Supuestos!$C$52*Cálculos!$C$5</f>
        <v>210000</v>
      </c>
      <c r="G39" s="29">
        <f>Supuestos!$C$52*Cálculos!$C$5</f>
        <v>210000</v>
      </c>
      <c r="H39" s="29">
        <f>Supuestos!$C$52*Cálculos!$C$5</f>
        <v>210000</v>
      </c>
      <c r="I39" s="29">
        <f>Supuestos!$C$52*Cálculos!$C$5</f>
        <v>210000</v>
      </c>
      <c r="J39" s="29">
        <f>Supuestos!$C$52*Cálculos!$C$5</f>
        <v>210000</v>
      </c>
      <c r="K39" s="29">
        <f>Supuestos!$C$52*Cálculos!$C$5</f>
        <v>210000</v>
      </c>
      <c r="L39" s="97">
        <f>Supuestos!$C$52*Cálculos!$C$5</f>
        <v>210000</v>
      </c>
    </row>
    <row r="40" spans="1:12" ht="12.75">
      <c r="A40" s="79" t="s">
        <v>154</v>
      </c>
      <c r="B40" s="80"/>
      <c r="C40" s="29">
        <f>-(SUM('Costo Horario'!$B$15:$B$17)+'Costo Horario'!$C$27)*Cálculos!$C$5</f>
        <v>-103590</v>
      </c>
      <c r="D40" s="29">
        <f>-(SUM('Costo Horario'!$B$15:$B$17)+'Costo Horario'!$C$27)*Cálculos!$C$5</f>
        <v>-103590</v>
      </c>
      <c r="E40" s="29">
        <f>-(SUM('Costo Horario'!$B$15:$B$17)+'Costo Horario'!$C$27)*Cálculos!$C$5</f>
        <v>-103590</v>
      </c>
      <c r="F40" s="29">
        <f>-(SUM('Costo Horario'!$B$15:$B$17)+'Costo Horario'!$C$27)*Cálculos!$C$5</f>
        <v>-103590</v>
      </c>
      <c r="G40" s="29">
        <f>-(SUM('Costo Horario'!$B$15:$B$17)+'Costo Horario'!$C$27)*Cálculos!$C$5</f>
        <v>-103590</v>
      </c>
      <c r="H40" s="29">
        <f>-(SUM('Costo Horario'!$B$15:$B$17)+'Costo Horario'!$C$27)*Cálculos!$C$5</f>
        <v>-103590</v>
      </c>
      <c r="I40" s="29">
        <f>-(SUM('Costo Horario'!$B$15:$B$17)+'Costo Horario'!$C$27)*Cálculos!$C$5</f>
        <v>-103590</v>
      </c>
      <c r="J40" s="29">
        <f>-(SUM('Costo Horario'!$B$15:$B$17)+'Costo Horario'!$C$27)*Cálculos!$C$5</f>
        <v>-103590</v>
      </c>
      <c r="K40" s="29">
        <f>-(SUM('Costo Horario'!$B$15:$B$17)+'Costo Horario'!$C$27)*Cálculos!$C$5</f>
        <v>-103590</v>
      </c>
      <c r="L40" s="97">
        <f>-(SUM('Costo Horario'!$B$15:$B$17)+'Costo Horario'!$C$27)*Cálculos!$C$5</f>
        <v>-103590</v>
      </c>
    </row>
    <row r="41" spans="1:12" ht="12.75">
      <c r="A41" s="79" t="s">
        <v>155</v>
      </c>
      <c r="B41" s="80"/>
      <c r="C41" s="29">
        <f>-Cálculos!$C$18</f>
        <v>-8346</v>
      </c>
      <c r="D41" s="29">
        <f>-Cálculos!$C$18</f>
        <v>-8346</v>
      </c>
      <c r="E41" s="29">
        <f>-Cálculos!$C$18</f>
        <v>-8346</v>
      </c>
      <c r="F41" s="29">
        <f>-Cálculos!$C$18</f>
        <v>-8346</v>
      </c>
      <c r="G41" s="29">
        <f>-Cálculos!$C$18</f>
        <v>-8346</v>
      </c>
      <c r="H41" s="29">
        <f>-Cálculos!$C$18</f>
        <v>-8346</v>
      </c>
      <c r="I41" s="29">
        <f>-Cálculos!$C$18</f>
        <v>-8346</v>
      </c>
      <c r="J41" s="29">
        <f>-Cálculos!$C$18</f>
        <v>-8346</v>
      </c>
      <c r="K41" s="29">
        <f>-Cálculos!$C$18</f>
        <v>-8346</v>
      </c>
      <c r="L41" s="97">
        <f>-Cálculos!$C$18</f>
        <v>-8346</v>
      </c>
    </row>
    <row r="42" spans="1:12" ht="12.75">
      <c r="A42" s="81" t="s">
        <v>156</v>
      </c>
      <c r="B42" s="82"/>
      <c r="C42" s="83">
        <f aca="true" t="shared" si="0" ref="C42:L42">SUM(C39:C41)</f>
        <v>98064</v>
      </c>
      <c r="D42" s="83">
        <f t="shared" si="0"/>
        <v>98064</v>
      </c>
      <c r="E42" s="83">
        <f t="shared" si="0"/>
        <v>98064</v>
      </c>
      <c r="F42" s="83">
        <f t="shared" si="0"/>
        <v>98064</v>
      </c>
      <c r="G42" s="83">
        <f t="shared" si="0"/>
        <v>98064</v>
      </c>
      <c r="H42" s="83">
        <f t="shared" si="0"/>
        <v>98064</v>
      </c>
      <c r="I42" s="83">
        <f t="shared" si="0"/>
        <v>98064</v>
      </c>
      <c r="J42" s="83">
        <f t="shared" si="0"/>
        <v>98064</v>
      </c>
      <c r="K42" s="83">
        <f t="shared" si="0"/>
        <v>98064</v>
      </c>
      <c r="L42" s="98">
        <f t="shared" si="0"/>
        <v>98064</v>
      </c>
    </row>
    <row r="43" spans="1:12" ht="12.75">
      <c r="A43" s="84" t="s">
        <v>157</v>
      </c>
      <c r="B43" s="8"/>
      <c r="C43" s="5">
        <f>-$B$9</f>
        <v>-27000</v>
      </c>
      <c r="D43" s="5">
        <f aca="true" t="shared" si="1" ref="D43:L43">-$B$9</f>
        <v>-27000</v>
      </c>
      <c r="E43" s="5">
        <f t="shared" si="1"/>
        <v>-27000</v>
      </c>
      <c r="F43" s="5">
        <f t="shared" si="1"/>
        <v>-27000</v>
      </c>
      <c r="G43" s="5">
        <f t="shared" si="1"/>
        <v>-27000</v>
      </c>
      <c r="H43" s="5">
        <f t="shared" si="1"/>
        <v>-27000</v>
      </c>
      <c r="I43" s="5">
        <f t="shared" si="1"/>
        <v>-27000</v>
      </c>
      <c r="J43" s="5">
        <f t="shared" si="1"/>
        <v>-27000</v>
      </c>
      <c r="K43" s="5">
        <f t="shared" si="1"/>
        <v>-27000</v>
      </c>
      <c r="L43" s="99">
        <f t="shared" si="1"/>
        <v>-27000</v>
      </c>
    </row>
    <row r="44" spans="1:12" ht="12.75">
      <c r="A44" s="79" t="s">
        <v>171</v>
      </c>
      <c r="B44" s="80"/>
      <c r="C44" s="85">
        <f>-(Loan!C6+Loan!C7)</f>
        <v>-10543.125954198054</v>
      </c>
      <c r="D44" s="85">
        <f>-(Loan!C8+Loan!C9)</f>
        <v>-8323.520490156357</v>
      </c>
      <c r="E44" s="85">
        <f>-(Loan!C10+Loan!C11)</f>
        <v>-6103.915026114662</v>
      </c>
      <c r="F44" s="85">
        <f>-(Loan!C12+Loan!C13)</f>
        <v>-3884.3095620729673</v>
      </c>
      <c r="G44" s="85">
        <f>-(Loan!C14+Loan!C15)</f>
        <v>-1664.7040980312718</v>
      </c>
      <c r="H44" s="85"/>
      <c r="I44" s="85"/>
      <c r="J44" s="85"/>
      <c r="K44" s="85"/>
      <c r="L44" s="100"/>
    </row>
    <row r="45" spans="1:12" ht="12.75">
      <c r="A45" s="81" t="s">
        <v>158</v>
      </c>
      <c r="B45" s="82"/>
      <c r="C45" s="83">
        <f aca="true" t="shared" si="2" ref="C45:L45">SUM(C42:C44)</f>
        <v>60520.874045801946</v>
      </c>
      <c r="D45" s="83">
        <f t="shared" si="2"/>
        <v>62740.479509843644</v>
      </c>
      <c r="E45" s="83">
        <f t="shared" si="2"/>
        <v>64960.084973885336</v>
      </c>
      <c r="F45" s="83">
        <f t="shared" si="2"/>
        <v>67179.69043792703</v>
      </c>
      <c r="G45" s="83">
        <f t="shared" si="2"/>
        <v>69399.29590196873</v>
      </c>
      <c r="H45" s="83">
        <f t="shared" si="2"/>
        <v>71064</v>
      </c>
      <c r="I45" s="83">
        <f t="shared" si="2"/>
        <v>71064</v>
      </c>
      <c r="J45" s="83">
        <f t="shared" si="2"/>
        <v>71064</v>
      </c>
      <c r="K45" s="83">
        <f t="shared" si="2"/>
        <v>71064</v>
      </c>
      <c r="L45" s="98">
        <f t="shared" si="2"/>
        <v>71064</v>
      </c>
    </row>
    <row r="46" spans="1:12" ht="12.75">
      <c r="A46" s="79" t="s">
        <v>159</v>
      </c>
      <c r="B46" s="80"/>
      <c r="C46" s="29">
        <f>IF(C45&lt;0,0,-Supuestos!$C$73*Evaluación!C45)</f>
        <v>-18156.26221374058</v>
      </c>
      <c r="D46" s="29">
        <f>IF(D45&lt;0,0,-Supuestos!$C$73*Evaluación!D45)</f>
        <v>-18822.143852953093</v>
      </c>
      <c r="E46" s="29">
        <f>IF(E45&lt;0,0,-Supuestos!$C$73*Evaluación!E45)</f>
        <v>-19488.0254921656</v>
      </c>
      <c r="F46" s="29">
        <f>IF(F45&lt;0,0,-Supuestos!$C$73*Evaluación!F45)</f>
        <v>-20153.907131378106</v>
      </c>
      <c r="G46" s="29">
        <f>IF(G45&lt;0,0,-Supuestos!$C$73*Evaluación!G45)</f>
        <v>-20819.788770590618</v>
      </c>
      <c r="H46" s="29">
        <f>IF(H45&lt;0,0,-Supuestos!$C$73*Evaluación!H45)</f>
        <v>-21319.2</v>
      </c>
      <c r="I46" s="29">
        <f>IF(I45&lt;0,0,-Supuestos!$C$73*Evaluación!I45)</f>
        <v>-21319.2</v>
      </c>
      <c r="J46" s="29">
        <f>IF(J45&lt;0,0,-Supuestos!$C$73*Evaluación!J45)</f>
        <v>-21319.2</v>
      </c>
      <c r="K46" s="29">
        <f>IF(K45&lt;0,0,-Supuestos!$C$73*Evaluación!K45)</f>
        <v>-21319.2</v>
      </c>
      <c r="L46" s="97">
        <f>IF(L45&lt;0,0,-Supuestos!$C$73*Evaluación!L45)</f>
        <v>-21319.2</v>
      </c>
    </row>
    <row r="47" spans="1:12" ht="12.75">
      <c r="A47" s="81" t="s">
        <v>160</v>
      </c>
      <c r="B47" s="82"/>
      <c r="C47" s="83">
        <f aca="true" t="shared" si="3" ref="C47:L47">SUM(C45:C46)</f>
        <v>42364.61183206136</v>
      </c>
      <c r="D47" s="83">
        <f t="shared" si="3"/>
        <v>43918.33565689055</v>
      </c>
      <c r="E47" s="83">
        <f t="shared" si="3"/>
        <v>45472.059481719734</v>
      </c>
      <c r="F47" s="83">
        <f t="shared" si="3"/>
        <v>47025.783306548925</v>
      </c>
      <c r="G47" s="83">
        <f t="shared" si="3"/>
        <v>48579.50713137811</v>
      </c>
      <c r="H47" s="83">
        <f t="shared" si="3"/>
        <v>49744.8</v>
      </c>
      <c r="I47" s="83">
        <f t="shared" si="3"/>
        <v>49744.8</v>
      </c>
      <c r="J47" s="83">
        <f t="shared" si="3"/>
        <v>49744.8</v>
      </c>
      <c r="K47" s="83">
        <f t="shared" si="3"/>
        <v>49744.8</v>
      </c>
      <c r="L47" s="98">
        <f t="shared" si="3"/>
        <v>49744.8</v>
      </c>
    </row>
    <row r="48" spans="1:12" ht="12.75">
      <c r="A48" s="79" t="s">
        <v>161</v>
      </c>
      <c r="B48" s="80"/>
      <c r="C48" s="29">
        <f>IF(C47&lt;0,0,-Supuestos!$C$74*Evaluación!C47)</f>
        <v>0</v>
      </c>
      <c r="D48" s="29">
        <f>IF(D47&lt;0,0,-Supuestos!$C$74*Evaluación!D47)</f>
        <v>0</v>
      </c>
      <c r="E48" s="29">
        <f>IF(E47&lt;0,0,-Supuestos!$C$74*Evaluación!E47)</f>
        <v>0</v>
      </c>
      <c r="F48" s="29">
        <f>IF(F47&lt;0,0,-Supuestos!$C$74*Evaluación!F47)</f>
        <v>0</v>
      </c>
      <c r="G48" s="29">
        <f>IF(G47&lt;0,0,-Supuestos!$C$74*Evaluación!G47)</f>
        <v>0</v>
      </c>
      <c r="H48" s="29">
        <f>IF(H47&lt;0,0,-Supuestos!$C$74*Evaluación!H47)</f>
        <v>0</v>
      </c>
      <c r="I48" s="29">
        <f>IF(I47&lt;0,0,-Supuestos!$C$74*Evaluación!I47)</f>
        <v>0</v>
      </c>
      <c r="J48" s="29">
        <f>IF(J47&lt;0,0,-Supuestos!$C$74*Evaluación!J47)</f>
        <v>0</v>
      </c>
      <c r="K48" s="29">
        <f>IF(K47&lt;0,0,-Supuestos!$C$74*Evaluación!K47)</f>
        <v>0</v>
      </c>
      <c r="L48" s="97">
        <f>IF(L47&lt;0,0,-Supuestos!$C$74*Evaluación!L47)</f>
        <v>0</v>
      </c>
    </row>
    <row r="49" spans="1:12" ht="12.75">
      <c r="A49" s="81" t="s">
        <v>162</v>
      </c>
      <c r="B49" s="82"/>
      <c r="C49" s="83">
        <f aca="true" t="shared" si="4" ref="C49:L49">SUM(C47:C48)</f>
        <v>42364.61183206136</v>
      </c>
      <c r="D49" s="83">
        <f t="shared" si="4"/>
        <v>43918.33565689055</v>
      </c>
      <c r="E49" s="83">
        <f t="shared" si="4"/>
        <v>45472.059481719734</v>
      </c>
      <c r="F49" s="83">
        <f t="shared" si="4"/>
        <v>47025.783306548925</v>
      </c>
      <c r="G49" s="83">
        <f t="shared" si="4"/>
        <v>48579.50713137811</v>
      </c>
      <c r="H49" s="83">
        <f t="shared" si="4"/>
        <v>49744.8</v>
      </c>
      <c r="I49" s="83">
        <f t="shared" si="4"/>
        <v>49744.8</v>
      </c>
      <c r="J49" s="83">
        <f t="shared" si="4"/>
        <v>49744.8</v>
      </c>
      <c r="K49" s="83">
        <f t="shared" si="4"/>
        <v>49744.8</v>
      </c>
      <c r="L49" s="98">
        <f t="shared" si="4"/>
        <v>49744.8</v>
      </c>
    </row>
    <row r="50" spans="1:12" ht="12.75">
      <c r="A50" s="79" t="s">
        <v>163</v>
      </c>
      <c r="B50" s="80"/>
      <c r="C50" s="5">
        <f>$B$9</f>
        <v>27000</v>
      </c>
      <c r="D50" s="5">
        <f aca="true" t="shared" si="5" ref="D50:L50">$B$9</f>
        <v>27000</v>
      </c>
      <c r="E50" s="5">
        <f t="shared" si="5"/>
        <v>27000</v>
      </c>
      <c r="F50" s="5">
        <f t="shared" si="5"/>
        <v>27000</v>
      </c>
      <c r="G50" s="5">
        <f t="shared" si="5"/>
        <v>27000</v>
      </c>
      <c r="H50" s="5">
        <f t="shared" si="5"/>
        <v>27000</v>
      </c>
      <c r="I50" s="5">
        <f t="shared" si="5"/>
        <v>27000</v>
      </c>
      <c r="J50" s="5">
        <f t="shared" si="5"/>
        <v>27000</v>
      </c>
      <c r="K50" s="5">
        <f t="shared" si="5"/>
        <v>27000</v>
      </c>
      <c r="L50" s="99">
        <f t="shared" si="5"/>
        <v>27000</v>
      </c>
    </row>
    <row r="51" spans="1:12" ht="12.75">
      <c r="A51" s="84" t="s">
        <v>175</v>
      </c>
      <c r="B51" s="80"/>
      <c r="C51" s="29">
        <f>-(Loan!B6+Loan!B7)</f>
        <v>-47277</v>
      </c>
      <c r="D51" s="29">
        <f>-(Loan!B8+Loan!B9)</f>
        <v>-47277</v>
      </c>
      <c r="E51" s="29">
        <f>-(Loan!B10+Loan!B11)</f>
        <v>-47277</v>
      </c>
      <c r="F51" s="29">
        <f>-(Loan!B12+Loan!B13)</f>
        <v>-47277</v>
      </c>
      <c r="G51" s="29">
        <f>-(Loan!B14+Loan!B15)</f>
        <v>-47277</v>
      </c>
      <c r="H51" s="29"/>
      <c r="I51" s="29"/>
      <c r="J51" s="29"/>
      <c r="K51" s="29"/>
      <c r="L51" s="97"/>
    </row>
    <row r="52" spans="1:12" ht="12.75">
      <c r="A52" s="84" t="s">
        <v>164</v>
      </c>
      <c r="B52" s="80"/>
      <c r="C52" s="29"/>
      <c r="D52" s="29"/>
      <c r="E52" s="29"/>
      <c r="F52" s="29"/>
      <c r="G52" s="29"/>
      <c r="H52" s="29"/>
      <c r="I52" s="29"/>
      <c r="J52" s="29"/>
      <c r="K52" s="29"/>
      <c r="L52" s="97">
        <f>$B$6</f>
        <v>0</v>
      </c>
    </row>
    <row r="53" spans="1:12" ht="12.75">
      <c r="A53" s="86" t="s">
        <v>165</v>
      </c>
      <c r="B53" s="83">
        <f>B38</f>
        <v>-40500</v>
      </c>
      <c r="C53" s="83">
        <f aca="true" t="shared" si="6" ref="C53:L53">SUM(C49:C52)</f>
        <v>22087.61183206136</v>
      </c>
      <c r="D53" s="83">
        <f t="shared" si="6"/>
        <v>23641.33565689056</v>
      </c>
      <c r="E53" s="83">
        <f t="shared" si="6"/>
        <v>25195.05948171974</v>
      </c>
      <c r="F53" s="83">
        <f t="shared" si="6"/>
        <v>26748.783306548925</v>
      </c>
      <c r="G53" s="98">
        <f t="shared" si="6"/>
        <v>28302.507131378108</v>
      </c>
      <c r="H53" s="98">
        <f t="shared" si="6"/>
        <v>76744.8</v>
      </c>
      <c r="I53" s="98">
        <f t="shared" si="6"/>
        <v>76744.8</v>
      </c>
      <c r="J53" s="98">
        <f t="shared" si="6"/>
        <v>76744.8</v>
      </c>
      <c r="K53" s="98">
        <f t="shared" si="6"/>
        <v>76744.8</v>
      </c>
      <c r="L53" s="98">
        <f t="shared" si="6"/>
        <v>76744.8</v>
      </c>
    </row>
    <row r="55" ht="12.75">
      <c r="A55" s="16" t="s">
        <v>166</v>
      </c>
    </row>
    <row r="56" spans="1:4" ht="12.75">
      <c r="A56" s="87" t="s">
        <v>167</v>
      </c>
      <c r="B56" s="88">
        <f>Supuestos!C77</f>
        <v>0.15</v>
      </c>
      <c r="C56" s="89">
        <f>NPV(B56,B53:L53)</f>
        <v>148189.5647419378</v>
      </c>
      <c r="D56" s="90" t="s">
        <v>19</v>
      </c>
    </row>
    <row r="57" spans="1:4" ht="12.75">
      <c r="A57" s="91" t="s">
        <v>168</v>
      </c>
      <c r="B57" s="94">
        <f>IRR(B53:L53,B56)</f>
        <v>0.6748460234403526</v>
      </c>
      <c r="C57" s="92"/>
      <c r="D57" s="93"/>
    </row>
    <row r="63" ht="12.75">
      <c r="A63" s="34" t="s">
        <v>87</v>
      </c>
    </row>
  </sheetData>
  <sheetProtection password="CB51" sheet="1" objects="1" scenarios="1"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Consultoría MMV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Manzanedo</dc:creator>
  <cp:keywords/>
  <dc:description/>
  <cp:lastModifiedBy>Usuario de Windows</cp:lastModifiedBy>
  <cp:lastPrinted>2018-05-10T23:29:16Z</cp:lastPrinted>
  <dcterms:created xsi:type="dcterms:W3CDTF">2006-07-05T03:21:57Z</dcterms:created>
  <dcterms:modified xsi:type="dcterms:W3CDTF">2018-05-24T21:46:15Z</dcterms:modified>
  <cp:category/>
  <cp:version/>
  <cp:contentType/>
  <cp:contentStatus/>
</cp:coreProperties>
</file>