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EJERCICIOS LIBRO PROYECTOS BORRADOR\1. ejercicio EPS titman\"/>
    </mc:Choice>
  </mc:AlternateContent>
  <bookViews>
    <workbookView xWindow="0" yWindow="0" windowWidth="20490" windowHeight="7455" activeTab="1"/>
  </bookViews>
  <sheets>
    <sheet name="Hoja1" sheetId="1" r:id="rId1"/>
    <sheet name="py sin deuda" sheetId="3" r:id="rId2"/>
    <sheet name="py con deuda " sheetId="4" r:id="rId3"/>
    <sheet name="Hoja5" sheetId="5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5" i="3" l="1"/>
  <c r="C8" i="3"/>
  <c r="E26" i="3" s="1"/>
  <c r="E28" i="3"/>
  <c r="I29" i="3"/>
  <c r="I28" i="3"/>
  <c r="I25" i="3" l="1"/>
  <c r="G25" i="3"/>
  <c r="O21" i="3"/>
  <c r="G21" i="3"/>
  <c r="I20" i="3"/>
  <c r="I21" i="3" s="1"/>
  <c r="I16" i="3"/>
  <c r="I19" i="3" s="1"/>
  <c r="E20" i="3"/>
  <c r="E21" i="3" s="1"/>
  <c r="E22" i="3" s="1"/>
  <c r="O22" i="3" s="1"/>
  <c r="G20" i="3"/>
  <c r="O23" i="3" l="1"/>
  <c r="O25" i="3"/>
  <c r="G26" i="3" l="1"/>
  <c r="G29" i="3"/>
  <c r="G28" i="3"/>
  <c r="E29" i="3"/>
  <c r="C7" i="3"/>
  <c r="C5" i="3"/>
  <c r="C6" i="3"/>
  <c r="C9" i="3"/>
  <c r="C10" i="3"/>
  <c r="C4" i="3"/>
  <c r="I35" i="1"/>
  <c r="E32" i="1"/>
  <c r="I51" i="1"/>
  <c r="E5" i="1"/>
  <c r="C8" i="1"/>
  <c r="G19" i="1"/>
  <c r="G17" i="1"/>
  <c r="E29" i="1"/>
  <c r="E28" i="1"/>
  <c r="E17" i="1"/>
  <c r="C7" i="1"/>
  <c r="C5" i="1"/>
  <c r="C6" i="1"/>
  <c r="C9" i="1"/>
  <c r="C10" i="1"/>
  <c r="C11" i="1"/>
  <c r="C12" i="1"/>
  <c r="C4" i="1"/>
  <c r="O20" i="4"/>
  <c r="O37" i="4"/>
  <c r="O34" i="4"/>
  <c r="O35" i="4"/>
  <c r="O33" i="4"/>
  <c r="O31" i="4"/>
  <c r="O28" i="4"/>
  <c r="C7" i="4"/>
  <c r="C6" i="4"/>
  <c r="C5" i="4"/>
  <c r="C4" i="4"/>
  <c r="E16" i="1" l="1"/>
  <c r="N16" i="1"/>
  <c r="N17" i="1"/>
  <c r="G28" i="4" l="1"/>
  <c r="G25" i="4"/>
  <c r="G26" i="4" s="1"/>
  <c r="G27" i="4" s="1"/>
  <c r="G30" i="4" s="1"/>
  <c r="G35" i="4" s="1"/>
  <c r="G19" i="4"/>
  <c r="G20" i="4" s="1"/>
  <c r="G21" i="4" s="1"/>
  <c r="I16" i="4"/>
  <c r="I19" i="4" s="1"/>
  <c r="G16" i="4"/>
  <c r="E16" i="4"/>
  <c r="E19" i="4" s="1"/>
  <c r="E5" i="4"/>
  <c r="G16" i="3"/>
  <c r="G19" i="3" s="1"/>
  <c r="E16" i="3"/>
  <c r="E19" i="3" s="1"/>
  <c r="E5" i="3"/>
  <c r="L17" i="1"/>
  <c r="I29" i="1"/>
  <c r="I28" i="1"/>
  <c r="I16" i="1"/>
  <c r="E25" i="1"/>
  <c r="I17" i="1"/>
  <c r="E18" i="1"/>
  <c r="E19" i="1" s="1"/>
  <c r="I19" i="1" l="1"/>
  <c r="I20" i="1"/>
  <c r="I21" i="1" s="1"/>
  <c r="I22" i="1" s="1"/>
  <c r="E26" i="1"/>
  <c r="E25" i="4"/>
  <c r="E20" i="1"/>
  <c r="E21" i="1" s="1"/>
  <c r="E22" i="1" s="1"/>
  <c r="I20" i="4"/>
  <c r="I21" i="4" s="1"/>
  <c r="E20" i="4"/>
  <c r="E21" i="4" s="1"/>
  <c r="E22" i="4" s="1"/>
  <c r="O21" i="4" s="1"/>
  <c r="O22" i="4" s="1"/>
  <c r="O25" i="4" s="1"/>
  <c r="I22" i="3"/>
  <c r="E25" i="3"/>
  <c r="G16" i="1"/>
  <c r="G22" i="3" l="1"/>
  <c r="E27" i="1"/>
  <c r="E30" i="1" s="1"/>
  <c r="E35" i="1" s="1"/>
  <c r="G25" i="1"/>
  <c r="I22" i="4"/>
  <c r="G22" i="4"/>
  <c r="E26" i="4"/>
  <c r="E27" i="4" s="1"/>
  <c r="E30" i="4" s="1"/>
  <c r="E35" i="4" s="1"/>
  <c r="I35" i="4" s="1"/>
  <c r="I25" i="4"/>
  <c r="I26" i="4" s="1"/>
  <c r="I27" i="4" s="1"/>
  <c r="I30" i="4" s="1"/>
  <c r="G27" i="3"/>
  <c r="G30" i="3" s="1"/>
  <c r="E27" i="3"/>
  <c r="E30" i="3" s="1"/>
  <c r="E35" i="3" s="1"/>
  <c r="I35" i="3" l="1"/>
  <c r="G20" i="1"/>
  <c r="G21" i="1"/>
  <c r="G22" i="1" s="1"/>
  <c r="G26" i="1"/>
  <c r="G27" i="1" s="1"/>
  <c r="G30" i="1" s="1"/>
  <c r="G35" i="1" s="1"/>
  <c r="I25" i="1"/>
  <c r="I26" i="3"/>
  <c r="I27" i="3" s="1"/>
  <c r="I30" i="3" s="1"/>
  <c r="I26" i="1" l="1"/>
  <c r="I27" i="1" s="1"/>
  <c r="I30" i="1" s="1"/>
</calcChain>
</file>

<file path=xl/comments1.xml><?xml version="1.0" encoding="utf-8"?>
<comments xmlns="http://schemas.openxmlformats.org/spreadsheetml/2006/main">
  <authors>
    <author>Luis</author>
  </authors>
  <commentList>
    <comment ref="G18" authorId="0" shapeId="0">
      <text>
        <r>
          <rPr>
            <b/>
            <sz val="9"/>
            <color indexed="81"/>
            <rFont val="Tahoma"/>
            <family val="2"/>
          </rPr>
          <t>Luis:</t>
        </r>
        <r>
          <rPr>
            <sz val="9"/>
            <color indexed="81"/>
            <rFont val="Tahoma"/>
            <family val="2"/>
          </rPr>
          <t xml:space="preserve">
explicra, ya no se invirete en bonos, sino en el py
</t>
        </r>
      </text>
    </comment>
  </commentList>
</comments>
</file>

<file path=xl/comments2.xml><?xml version="1.0" encoding="utf-8"?>
<comments xmlns="http://schemas.openxmlformats.org/spreadsheetml/2006/main">
  <authors>
    <author>Luis</author>
  </authors>
  <commentList>
    <comment ref="E17" authorId="0" shapeId="0">
      <text>
        <r>
          <rPr>
            <b/>
            <sz val="9"/>
            <color indexed="81"/>
            <rFont val="Tahoma"/>
            <family val="2"/>
          </rPr>
          <t>Luis:</t>
        </r>
        <r>
          <rPr>
            <sz val="9"/>
            <color indexed="81"/>
            <rFont val="Tahoma"/>
            <family val="2"/>
          </rPr>
          <t xml:space="preserve">
no existe deuda,xq se financia con emision de acciones
</t>
        </r>
      </text>
    </comment>
    <comment ref="E18" authorId="0" shapeId="0">
      <text>
        <r>
          <rPr>
            <b/>
            <sz val="9"/>
            <color indexed="81"/>
            <rFont val="Tahoma"/>
            <family val="2"/>
          </rPr>
          <t>Luis:</t>
        </r>
        <r>
          <rPr>
            <sz val="9"/>
            <color indexed="81"/>
            <rFont val="Tahoma"/>
            <family val="2"/>
          </rPr>
          <t xml:space="preserve">
es cero porque la empresa reparte las reservas en dividendos a sus accionistas </t>
        </r>
      </text>
    </comment>
    <comment ref="G18" authorId="0" shapeId="0">
      <text>
        <r>
          <rPr>
            <b/>
            <sz val="9"/>
            <color indexed="81"/>
            <rFont val="Tahoma"/>
            <family val="2"/>
          </rPr>
          <t>Luis:</t>
        </r>
        <r>
          <rPr>
            <sz val="9"/>
            <color indexed="81"/>
            <rFont val="Tahoma"/>
            <family val="2"/>
          </rPr>
          <t xml:space="preserve">
explicra, ya no se invirete en bonos, sino en el py
</t>
        </r>
      </text>
    </comment>
  </commentList>
</comments>
</file>

<file path=xl/comments3.xml><?xml version="1.0" encoding="utf-8"?>
<comments xmlns="http://schemas.openxmlformats.org/spreadsheetml/2006/main">
  <authors>
    <author>Luis</author>
  </authors>
  <commentList>
    <comment ref="E17" authorId="0" shapeId="0">
      <text>
        <r>
          <rPr>
            <b/>
            <sz val="9"/>
            <color indexed="81"/>
            <rFont val="Tahoma"/>
            <family val="2"/>
          </rPr>
          <t>Luis:</t>
        </r>
        <r>
          <rPr>
            <sz val="9"/>
            <color indexed="81"/>
            <rFont val="Tahoma"/>
            <family val="2"/>
          </rPr>
          <t xml:space="preserve">
no existe deuda,xq se financia con emision de acciones
</t>
        </r>
      </text>
    </comment>
    <comment ref="E18" authorId="0" shapeId="0">
      <text>
        <r>
          <rPr>
            <b/>
            <sz val="9"/>
            <color indexed="81"/>
            <rFont val="Tahoma"/>
            <family val="2"/>
          </rPr>
          <t>Luis:</t>
        </r>
        <r>
          <rPr>
            <sz val="9"/>
            <color indexed="81"/>
            <rFont val="Tahoma"/>
            <family val="2"/>
          </rPr>
          <t xml:space="preserve">
es cero porque la empresa reparte las reservas en dividendos a sus accionistas </t>
        </r>
      </text>
    </comment>
    <comment ref="G18" authorId="0" shapeId="0">
      <text>
        <r>
          <rPr>
            <b/>
            <sz val="9"/>
            <color indexed="81"/>
            <rFont val="Tahoma"/>
            <family val="2"/>
          </rPr>
          <t>Luis:</t>
        </r>
        <r>
          <rPr>
            <sz val="9"/>
            <color indexed="81"/>
            <rFont val="Tahoma"/>
            <family val="2"/>
          </rPr>
          <t xml:space="preserve">
explicra, ya no se invirete en bonos, sino en el py
</t>
        </r>
      </text>
    </comment>
  </commentList>
</comments>
</file>

<file path=xl/sharedStrings.xml><?xml version="1.0" encoding="utf-8"?>
<sst xmlns="http://schemas.openxmlformats.org/spreadsheetml/2006/main" count="154" uniqueCount="68">
  <si>
    <t>Impacto del proyecto en el valor de la empresa</t>
  </si>
  <si>
    <t>Inversión total</t>
  </si>
  <si>
    <t>Recursos propios</t>
  </si>
  <si>
    <t>Deuda</t>
  </si>
  <si>
    <t>EBIT adicional al año</t>
  </si>
  <si>
    <t>Tasa impositiva</t>
  </si>
  <si>
    <t>Rendimiento de los bonos tesoro</t>
  </si>
  <si>
    <t>Tasa de interes acreedor(antes de impuestos)</t>
  </si>
  <si>
    <t>Coste de recursos propios</t>
  </si>
  <si>
    <t>Coste de capital</t>
  </si>
  <si>
    <t>PY</t>
  </si>
  <si>
    <t>Empres sin py</t>
  </si>
  <si>
    <t>Proyecto</t>
  </si>
  <si>
    <t>Empresa + proyecto</t>
  </si>
  <si>
    <t>Estado de resultados</t>
  </si>
  <si>
    <t>EBIT</t>
  </si>
  <si>
    <t>Gastos por intereses</t>
  </si>
  <si>
    <t>Ingreso por interes</t>
  </si>
  <si>
    <t>EBT</t>
  </si>
  <si>
    <t>Impuestos</t>
  </si>
  <si>
    <t>Ingreso neto</t>
  </si>
  <si>
    <t>acciones emitidas</t>
  </si>
  <si>
    <t>Flujo de caja</t>
  </si>
  <si>
    <t>NOPAT</t>
  </si>
  <si>
    <t xml:space="preserve">Amortizacion </t>
  </si>
  <si>
    <t>CAPEX</t>
  </si>
  <si>
    <t>FFCF</t>
  </si>
  <si>
    <t xml:space="preserve">Beneficio por acción (EPS) </t>
  </si>
  <si>
    <t>DATO</t>
  </si>
  <si>
    <t>NOTAS</t>
  </si>
  <si>
    <t>4 flujos de caja disponible</t>
  </si>
  <si>
    <t>el EPS aumenta si se aprueba el py</t>
  </si>
  <si>
    <t>=Dato del problema</t>
  </si>
  <si>
    <t xml:space="preserve">=En el caso de empresa sin proyecto este corresponde los intereses que se estan pagando que corresponden a una deuda antigua; para el caso del proyecto es la tasa de interes 5% por monto de la deuda  2,000,000 </t>
  </si>
  <si>
    <t xml:space="preserve">=En el caso de la empresa sin proyecto, esta invierte en el los bonos del tesoro americano con un tasa de rendimiento de 4% por lo 4,000,000 de utilidades retenidas con las que cuenta; Para el proyecto esto no se considera debido que estas utilidades retenidas se están invirtiendo en el proyecto </t>
  </si>
  <si>
    <t>= (1)-(2)+(3)</t>
  </si>
  <si>
    <t>Valor de la empresa + py</t>
  </si>
  <si>
    <t>Valor de la empresa</t>
  </si>
  <si>
    <t>Valor del py</t>
  </si>
  <si>
    <t>sin deuda</t>
  </si>
  <si>
    <t>¿?</t>
  </si>
  <si>
    <t>=30%*(4)</t>
  </si>
  <si>
    <t>=(4)-(5)</t>
  </si>
  <si>
    <t>=(6)/2,000,000</t>
  </si>
  <si>
    <t>DATO  4</t>
  </si>
  <si>
    <t>=4,000,000; Dato</t>
  </si>
  <si>
    <t>=30%*(1)</t>
  </si>
  <si>
    <t>=(1)-(2)</t>
  </si>
  <si>
    <t>emision de acciones</t>
  </si>
  <si>
    <t>EPS</t>
  </si>
  <si>
    <t>PER=ROE</t>
  </si>
  <si>
    <t xml:space="preserve">PRECIO </t>
  </si>
  <si>
    <t>ACCIONES A EMITIR</t>
  </si>
  <si>
    <t xml:space="preserve">PRECIO DE LA ACCION </t>
  </si>
  <si>
    <t>362-371</t>
  </si>
  <si>
    <t xml:space="preserve">=2,400; Dato </t>
  </si>
  <si>
    <t xml:space="preserve">= Capex= Depreciacion y amortizacion </t>
  </si>
  <si>
    <t xml:space="preserve">CAMBIAR DATOS </t>
  </si>
  <si>
    <t>=(3)+(4)+(5)</t>
  </si>
  <si>
    <t xml:space="preserve">EBIT </t>
  </si>
  <si>
    <t>Empresa sin py</t>
  </si>
  <si>
    <t>beta</t>
  </si>
  <si>
    <t>rf</t>
  </si>
  <si>
    <t>prima</t>
  </si>
  <si>
    <t>deuda</t>
  </si>
  <si>
    <t>total</t>
  </si>
  <si>
    <t>wacc</t>
  </si>
  <si>
    <t>patrimonio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</si>
</sst>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0.0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8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399975585192419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2">
    <xf numFmtId="0" fontId="0" fillId="0" borderId="0" xfId="0"/>
    <xf numFmtId="0" fontId="0" fillId="0" borderId="1" xfId="0" applyBorder="1"/>
    <xf numFmtId="3" fontId="0" fillId="0" borderId="0" xfId="0" applyNumberFormat="1"/>
    <xf numFmtId="9" fontId="0" fillId="0" borderId="0" xfId="1" applyFont="1"/>
    <xf numFmtId="9" fontId="0" fillId="0" borderId="0" xfId="0" applyNumberFormat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3" fontId="0" fillId="0" borderId="2" xfId="0" applyNumberFormat="1" applyBorder="1"/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/>
    </xf>
    <xf numFmtId="3" fontId="0" fillId="0" borderId="1" xfId="0" applyNumberFormat="1" applyBorder="1"/>
    <xf numFmtId="0" fontId="0" fillId="2" borderId="0" xfId="0" applyFill="1"/>
    <xf numFmtId="49" fontId="0" fillId="0" borderId="0" xfId="0" applyNumberFormat="1"/>
    <xf numFmtId="0" fontId="0" fillId="3" borderId="0" xfId="0" applyFill="1" applyAlignment="1">
      <alignment horizontal="center" vertical="center"/>
    </xf>
    <xf numFmtId="0" fontId="0" fillId="3" borderId="0" xfId="0" applyFill="1"/>
    <xf numFmtId="0" fontId="0" fillId="5" borderId="0" xfId="0" applyFill="1" applyAlignment="1">
      <alignment horizontal="center" vertical="center"/>
    </xf>
    <xf numFmtId="0" fontId="0" fillId="4" borderId="0" xfId="0" applyFill="1" applyAlignment="1">
      <alignment horizontal="center" vertical="center" wrapText="1"/>
    </xf>
    <xf numFmtId="0" fontId="0" fillId="5" borderId="0" xfId="0" applyFill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0" fillId="6" borderId="0" xfId="0" applyFill="1"/>
    <xf numFmtId="0" fontId="0" fillId="7" borderId="0" xfId="0" applyFill="1"/>
    <xf numFmtId="0" fontId="0" fillId="0" borderId="0" xfId="0" applyFill="1"/>
    <xf numFmtId="3" fontId="0" fillId="0" borderId="3" xfId="0" applyNumberFormat="1" applyBorder="1"/>
    <xf numFmtId="0" fontId="0" fillId="0" borderId="3" xfId="0" applyBorder="1"/>
    <xf numFmtId="164" fontId="0" fillId="0" borderId="3" xfId="0" applyNumberFormat="1" applyBorder="1"/>
    <xf numFmtId="165" fontId="0" fillId="0" borderId="3" xfId="0" applyNumberFormat="1" applyBorder="1"/>
    <xf numFmtId="10" fontId="0" fillId="0" borderId="0" xfId="1" applyNumberFormat="1" applyFont="1"/>
    <xf numFmtId="10" fontId="0" fillId="0" borderId="0" xfId="0" applyNumberFormat="1"/>
    <xf numFmtId="9" fontId="0" fillId="0" borderId="3" xfId="0" applyNumberFormat="1" applyBorder="1"/>
    <xf numFmtId="2" fontId="0" fillId="0" borderId="3" xfId="0" applyNumberFormat="1" applyBorder="1"/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54"/>
  <sheetViews>
    <sheetView workbookViewId="0">
      <selection activeCell="I22" sqref="I22"/>
    </sheetView>
  </sheetViews>
  <sheetFormatPr baseColWidth="10" defaultRowHeight="15" x14ac:dyDescent="0.25"/>
  <cols>
    <col min="2" max="2" width="37.140625" customWidth="1"/>
    <col min="3" max="3" width="12.5703125" customWidth="1"/>
    <col min="5" max="5" width="14.7109375" customWidth="1"/>
    <col min="6" max="6" width="5.7109375" customWidth="1"/>
    <col min="7" max="7" width="14.7109375" customWidth="1"/>
    <col min="8" max="8" width="5.7109375" customWidth="1"/>
    <col min="9" max="9" width="18.85546875" customWidth="1"/>
  </cols>
  <sheetData>
    <row r="1" spans="1:14" x14ac:dyDescent="0.25">
      <c r="A1" t="s">
        <v>0</v>
      </c>
    </row>
    <row r="4" spans="1:14" x14ac:dyDescent="0.25">
      <c r="B4" t="s">
        <v>1</v>
      </c>
      <c r="C4" s="2">
        <f>'py con deuda '!C4</f>
        <v>18000000</v>
      </c>
    </row>
    <row r="5" spans="1:14" x14ac:dyDescent="0.25">
      <c r="A5" t="s">
        <v>59</v>
      </c>
      <c r="B5" t="s">
        <v>2</v>
      </c>
      <c r="C5" s="2">
        <f>'py con deuda '!C5</f>
        <v>12000000</v>
      </c>
      <c r="E5">
        <f>C5/C4</f>
        <v>0.66666666666666663</v>
      </c>
      <c r="G5" s="2">
        <v>2000000</v>
      </c>
      <c r="H5" t="s">
        <v>21</v>
      </c>
    </row>
    <row r="6" spans="1:14" x14ac:dyDescent="0.25">
      <c r="B6" t="s">
        <v>3</v>
      </c>
      <c r="C6" s="2">
        <f>'py con deuda '!C6</f>
        <v>6000000</v>
      </c>
    </row>
    <row r="7" spans="1:14" x14ac:dyDescent="0.25">
      <c r="A7" t="s">
        <v>10</v>
      </c>
      <c r="B7" t="s">
        <v>4</v>
      </c>
      <c r="C7" s="2">
        <f>3*500000</f>
        <v>1500000</v>
      </c>
    </row>
    <row r="8" spans="1:14" x14ac:dyDescent="0.25">
      <c r="B8" t="s">
        <v>5</v>
      </c>
      <c r="C8" s="3">
        <f>'py con deuda '!C8</f>
        <v>0.22</v>
      </c>
    </row>
    <row r="9" spans="1:14" x14ac:dyDescent="0.25">
      <c r="B9" t="s">
        <v>6</v>
      </c>
      <c r="C9" s="3">
        <f>'py con deuda '!C9</f>
        <v>0.04</v>
      </c>
    </row>
    <row r="10" spans="1:14" x14ac:dyDescent="0.25">
      <c r="B10" t="s">
        <v>7</v>
      </c>
      <c r="C10" s="3">
        <f>'py con deuda '!C10</f>
        <v>0.05</v>
      </c>
    </row>
    <row r="11" spans="1:14" x14ac:dyDescent="0.25">
      <c r="B11" t="s">
        <v>8</v>
      </c>
      <c r="C11" s="3">
        <f>'py con deuda '!C11</f>
        <v>0.12</v>
      </c>
    </row>
    <row r="12" spans="1:14" x14ac:dyDescent="0.25">
      <c r="B12" t="s">
        <v>9</v>
      </c>
      <c r="C12" s="3">
        <f>'py con deuda '!C12</f>
        <v>0.1</v>
      </c>
    </row>
    <row r="15" spans="1:14" ht="23.25" customHeight="1" x14ac:dyDescent="0.25">
      <c r="B15" s="11" t="s">
        <v>14</v>
      </c>
      <c r="E15" s="15" t="s">
        <v>60</v>
      </c>
      <c r="F15" s="5"/>
      <c r="G15" s="17" t="s">
        <v>12</v>
      </c>
      <c r="H15" s="5"/>
      <c r="I15" s="18" t="s">
        <v>13</v>
      </c>
    </row>
    <row r="16" spans="1:14" x14ac:dyDescent="0.25">
      <c r="A16">
        <v>1</v>
      </c>
      <c r="B16" t="s">
        <v>15</v>
      </c>
      <c r="E16" s="2">
        <f>C5</f>
        <v>12000000</v>
      </c>
      <c r="G16" s="2">
        <f>C7</f>
        <v>1500000</v>
      </c>
      <c r="I16" s="2">
        <f>C5+C7</f>
        <v>13500000</v>
      </c>
      <c r="N16" s="2">
        <f>3200000/C12</f>
        <v>32000000</v>
      </c>
    </row>
    <row r="17" spans="1:14" x14ac:dyDescent="0.25">
      <c r="A17">
        <v>2</v>
      </c>
      <c r="B17" t="s">
        <v>16</v>
      </c>
      <c r="E17" s="2">
        <f>3*500000</f>
        <v>1500000</v>
      </c>
      <c r="G17" s="2">
        <f>C10*C6</f>
        <v>300000</v>
      </c>
      <c r="I17" s="2">
        <f>E17+G17</f>
        <v>1800000</v>
      </c>
      <c r="L17">
        <f>2928000/2000000</f>
        <v>1.464</v>
      </c>
      <c r="N17" s="2">
        <f>400000/C12</f>
        <v>4000000</v>
      </c>
    </row>
    <row r="18" spans="1:14" x14ac:dyDescent="0.25">
      <c r="A18">
        <v>3</v>
      </c>
      <c r="B18" t="s">
        <v>17</v>
      </c>
      <c r="E18" s="12">
        <f>C5*C9</f>
        <v>480000</v>
      </c>
      <c r="G18" s="1">
        <v>0</v>
      </c>
      <c r="I18" s="12">
        <v>0</v>
      </c>
      <c r="N18" s="2"/>
    </row>
    <row r="19" spans="1:14" x14ac:dyDescent="0.25">
      <c r="A19">
        <v>4</v>
      </c>
      <c r="B19" t="s">
        <v>18</v>
      </c>
      <c r="E19" s="2">
        <f>E16-E17+E18</f>
        <v>10980000</v>
      </c>
      <c r="G19" s="2">
        <f>G16-G17+G18</f>
        <v>1200000</v>
      </c>
      <c r="I19" s="2">
        <f>I16-I17+I18</f>
        <v>11700000</v>
      </c>
      <c r="N19" s="2"/>
    </row>
    <row r="20" spans="1:14" x14ac:dyDescent="0.25">
      <c r="A20">
        <v>5</v>
      </c>
      <c r="B20" t="s">
        <v>19</v>
      </c>
      <c r="E20" s="2">
        <f>C8*E19</f>
        <v>2415600</v>
      </c>
      <c r="G20">
        <f>$G$19*C8</f>
        <v>264000</v>
      </c>
      <c r="I20" s="2">
        <f>$I$19*C8</f>
        <v>2574000</v>
      </c>
      <c r="N20" s="2"/>
    </row>
    <row r="21" spans="1:14" ht="15.75" thickBot="1" x14ac:dyDescent="0.3">
      <c r="A21">
        <v>6</v>
      </c>
      <c r="B21" t="s">
        <v>20</v>
      </c>
      <c r="E21" s="7">
        <f>E19-E20</f>
        <v>8564400</v>
      </c>
      <c r="G21" s="7">
        <f>G19-G20</f>
        <v>936000</v>
      </c>
      <c r="I21" s="7">
        <f>I19-I20</f>
        <v>9126000</v>
      </c>
      <c r="N21" s="2"/>
    </row>
    <row r="22" spans="1:14" ht="15.75" thickTop="1" x14ac:dyDescent="0.25">
      <c r="A22">
        <v>7</v>
      </c>
      <c r="B22" t="s">
        <v>27</v>
      </c>
      <c r="E22" s="8">
        <f>E21/G5</f>
        <v>4.2821999999999996</v>
      </c>
      <c r="G22" s="9">
        <f>G21/G5</f>
        <v>0.46800000000000003</v>
      </c>
      <c r="I22" s="8">
        <f>I21/G5</f>
        <v>4.5629999999999997</v>
      </c>
      <c r="J22" t="s">
        <v>31</v>
      </c>
    </row>
    <row r="23" spans="1:14" x14ac:dyDescent="0.25">
      <c r="E23" s="2"/>
    </row>
    <row r="24" spans="1:14" ht="24" customHeight="1" x14ac:dyDescent="0.25">
      <c r="B24" s="11" t="s">
        <v>22</v>
      </c>
      <c r="E24" s="2"/>
    </row>
    <row r="25" spans="1:14" x14ac:dyDescent="0.25">
      <c r="A25">
        <v>1</v>
      </c>
      <c r="B25" t="s">
        <v>15</v>
      </c>
      <c r="E25" s="2">
        <f>E16</f>
        <v>12000000</v>
      </c>
      <c r="F25" s="2"/>
      <c r="G25" s="2">
        <f t="shared" ref="G25" si="0">G16</f>
        <v>1500000</v>
      </c>
      <c r="I25" s="2">
        <f>E25+G25</f>
        <v>13500000</v>
      </c>
    </row>
    <row r="26" spans="1:14" x14ac:dyDescent="0.25">
      <c r="A26">
        <v>2</v>
      </c>
      <c r="B26" t="s">
        <v>19</v>
      </c>
      <c r="E26" s="12">
        <f>$C$8*E25</f>
        <v>2640000</v>
      </c>
      <c r="F26" s="2"/>
      <c r="G26" s="12">
        <f t="shared" ref="G26" si="1">$C$8*G25</f>
        <v>330000</v>
      </c>
      <c r="I26" s="1">
        <f>I25*C8</f>
        <v>2970000</v>
      </c>
    </row>
    <row r="27" spans="1:14" x14ac:dyDescent="0.25">
      <c r="A27">
        <v>3</v>
      </c>
      <c r="B27" t="s">
        <v>23</v>
      </c>
      <c r="E27" s="2">
        <f>E25-E26</f>
        <v>9360000</v>
      </c>
      <c r="F27" s="2"/>
      <c r="G27" s="2">
        <f>G25-G26</f>
        <v>1170000</v>
      </c>
      <c r="I27" s="2">
        <f>I25-I26</f>
        <v>10530000</v>
      </c>
    </row>
    <row r="28" spans="1:14" x14ac:dyDescent="0.25">
      <c r="A28" t="s">
        <v>44</v>
      </c>
      <c r="B28" t="s">
        <v>24</v>
      </c>
      <c r="E28" s="2">
        <f>3*2400000</f>
        <v>7200000</v>
      </c>
      <c r="F28" s="2"/>
      <c r="G28" s="2">
        <v>0</v>
      </c>
      <c r="I28" s="2">
        <f>E28</f>
        <v>7200000</v>
      </c>
    </row>
    <row r="29" spans="1:14" x14ac:dyDescent="0.25">
      <c r="A29">
        <v>5</v>
      </c>
      <c r="B29" t="s">
        <v>25</v>
      </c>
      <c r="E29" s="12">
        <f>3*-2400000</f>
        <v>-7200000</v>
      </c>
      <c r="G29" s="1">
        <v>0</v>
      </c>
      <c r="I29" s="12">
        <f>E29</f>
        <v>-7200000</v>
      </c>
    </row>
    <row r="30" spans="1:14" x14ac:dyDescent="0.25">
      <c r="A30">
        <v>6</v>
      </c>
      <c r="B30" t="s">
        <v>26</v>
      </c>
      <c r="E30" s="2">
        <f>SUM(E27:E29)</f>
        <v>9360000</v>
      </c>
      <c r="F30" s="2"/>
      <c r="G30" s="2">
        <f>SUM(G27:G29)</f>
        <v>1170000</v>
      </c>
      <c r="I30" s="2">
        <f>SUM(I27:I29)</f>
        <v>10530000</v>
      </c>
    </row>
    <row r="31" spans="1:14" x14ac:dyDescent="0.25">
      <c r="M31" s="22"/>
    </row>
    <row r="32" spans="1:14" x14ac:dyDescent="0.25">
      <c r="E32" s="2">
        <f>E30/0.1</f>
        <v>93600000</v>
      </c>
    </row>
    <row r="34" spans="1:12" ht="30" x14ac:dyDescent="0.25">
      <c r="E34" s="20" t="s">
        <v>37</v>
      </c>
      <c r="G34" s="19" t="s">
        <v>38</v>
      </c>
      <c r="H34" s="6"/>
      <c r="I34" s="18" t="s">
        <v>36</v>
      </c>
    </row>
    <row r="35" spans="1:12" x14ac:dyDescent="0.25">
      <c r="E35" s="2">
        <f>E30/C12</f>
        <v>93600000</v>
      </c>
      <c r="G35" s="2">
        <f>G30/C12-C4</f>
        <v>-6300000</v>
      </c>
      <c r="I35" s="2">
        <f>E35+G35</f>
        <v>87300000</v>
      </c>
    </row>
    <row r="37" spans="1:12" x14ac:dyDescent="0.25">
      <c r="I37" s="2"/>
    </row>
    <row r="38" spans="1:12" x14ac:dyDescent="0.25">
      <c r="B38" s="13" t="s">
        <v>29</v>
      </c>
    </row>
    <row r="39" spans="1:12" x14ac:dyDescent="0.25">
      <c r="A39">
        <v>1</v>
      </c>
      <c r="B39" s="14" t="s">
        <v>32</v>
      </c>
    </row>
    <row r="40" spans="1:12" x14ac:dyDescent="0.25">
      <c r="A40">
        <v>2</v>
      </c>
      <c r="B40" s="14" t="s">
        <v>33</v>
      </c>
    </row>
    <row r="41" spans="1:12" x14ac:dyDescent="0.25">
      <c r="A41">
        <v>3</v>
      </c>
      <c r="B41" s="14" t="s">
        <v>34</v>
      </c>
    </row>
    <row r="42" spans="1:12" x14ac:dyDescent="0.25">
      <c r="A42">
        <v>4</v>
      </c>
      <c r="B42" s="14" t="s">
        <v>35</v>
      </c>
    </row>
    <row r="43" spans="1:12" x14ac:dyDescent="0.25">
      <c r="A43">
        <v>5</v>
      </c>
      <c r="B43" s="14" t="s">
        <v>41</v>
      </c>
    </row>
    <row r="44" spans="1:12" x14ac:dyDescent="0.25">
      <c r="A44">
        <v>6</v>
      </c>
      <c r="B44" s="14" t="s">
        <v>42</v>
      </c>
    </row>
    <row r="45" spans="1:12" x14ac:dyDescent="0.25">
      <c r="A45">
        <v>7</v>
      </c>
      <c r="B45" s="14" t="s">
        <v>43</v>
      </c>
    </row>
    <row r="46" spans="1:12" x14ac:dyDescent="0.25">
      <c r="A46">
        <v>8</v>
      </c>
      <c r="B46" s="14" t="s">
        <v>30</v>
      </c>
    </row>
    <row r="47" spans="1:12" x14ac:dyDescent="0.25">
      <c r="L47" s="28"/>
    </row>
    <row r="48" spans="1:12" x14ac:dyDescent="0.25">
      <c r="A48">
        <v>1</v>
      </c>
      <c r="B48" s="14" t="s">
        <v>45</v>
      </c>
    </row>
    <row r="49" spans="1:9" x14ac:dyDescent="0.25">
      <c r="A49">
        <v>2</v>
      </c>
      <c r="B49" s="14" t="s">
        <v>46</v>
      </c>
    </row>
    <row r="50" spans="1:9" x14ac:dyDescent="0.25">
      <c r="A50">
        <v>3</v>
      </c>
      <c r="B50" s="14" t="s">
        <v>47</v>
      </c>
    </row>
    <row r="51" spans="1:9" x14ac:dyDescent="0.25">
      <c r="A51">
        <v>4</v>
      </c>
      <c r="B51" s="14" t="s">
        <v>55</v>
      </c>
      <c r="I51">
        <f>3200000/0.08</f>
        <v>40000000</v>
      </c>
    </row>
    <row r="52" spans="1:9" x14ac:dyDescent="0.25">
      <c r="A52">
        <v>5</v>
      </c>
      <c r="B52" s="14" t="s">
        <v>56</v>
      </c>
    </row>
    <row r="53" spans="1:9" x14ac:dyDescent="0.25">
      <c r="A53">
        <v>6</v>
      </c>
      <c r="B53" s="14" t="s">
        <v>58</v>
      </c>
    </row>
    <row r="54" spans="1:9" x14ac:dyDescent="0.25">
      <c r="B54" s="14"/>
    </row>
  </sheetData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47"/>
  <sheetViews>
    <sheetView tabSelected="1" topLeftCell="A16" workbookViewId="0">
      <selection activeCell="G36" sqref="G36"/>
    </sheetView>
  </sheetViews>
  <sheetFormatPr baseColWidth="10" defaultRowHeight="15" x14ac:dyDescent="0.25"/>
  <cols>
    <col min="2" max="2" width="37.140625" customWidth="1"/>
    <col min="5" max="5" width="14.7109375" customWidth="1"/>
    <col min="6" max="6" width="5.7109375" customWidth="1"/>
    <col min="7" max="7" width="14.7109375" customWidth="1"/>
    <col min="8" max="8" width="5.7109375" customWidth="1"/>
    <col min="9" max="9" width="14.7109375" customWidth="1"/>
    <col min="14" max="14" width="18.85546875" customWidth="1"/>
  </cols>
  <sheetData>
    <row r="1" spans="1:14" x14ac:dyDescent="0.25">
      <c r="A1" t="s">
        <v>0</v>
      </c>
    </row>
    <row r="2" spans="1:14" x14ac:dyDescent="0.25">
      <c r="I2" s="21" t="s">
        <v>39</v>
      </c>
      <c r="J2" t="s">
        <v>48</v>
      </c>
    </row>
    <row r="4" spans="1:14" x14ac:dyDescent="0.25">
      <c r="B4" t="s">
        <v>1</v>
      </c>
      <c r="C4" s="2">
        <f>Hoja1!C4</f>
        <v>18000000</v>
      </c>
    </row>
    <row r="5" spans="1:14" x14ac:dyDescent="0.25">
      <c r="B5" t="s">
        <v>2</v>
      </c>
      <c r="C5" s="2">
        <f>Hoja1!C5</f>
        <v>12000000</v>
      </c>
      <c r="E5">
        <f>C5/C4</f>
        <v>0.66666666666666663</v>
      </c>
      <c r="G5" s="2">
        <v>2000000</v>
      </c>
      <c r="H5" t="s">
        <v>21</v>
      </c>
    </row>
    <row r="6" spans="1:14" x14ac:dyDescent="0.25">
      <c r="B6" t="s">
        <v>3</v>
      </c>
      <c r="C6" s="2">
        <f>Hoja1!C6</f>
        <v>6000000</v>
      </c>
    </row>
    <row r="7" spans="1:14" x14ac:dyDescent="0.25">
      <c r="A7" t="s">
        <v>10</v>
      </c>
      <c r="B7" t="s">
        <v>4</v>
      </c>
      <c r="C7" s="2">
        <f>3*750000</f>
        <v>2250000</v>
      </c>
    </row>
    <row r="8" spans="1:14" x14ac:dyDescent="0.25">
      <c r="B8" t="s">
        <v>5</v>
      </c>
      <c r="C8" s="3">
        <f>Hoja1!C8</f>
        <v>0.22</v>
      </c>
    </row>
    <row r="9" spans="1:14" x14ac:dyDescent="0.25">
      <c r="B9" t="s">
        <v>6</v>
      </c>
      <c r="C9" s="3">
        <f>Hoja1!C9</f>
        <v>0.04</v>
      </c>
    </row>
    <row r="10" spans="1:14" x14ac:dyDescent="0.25">
      <c r="B10" t="s">
        <v>7</v>
      </c>
      <c r="C10" s="3">
        <f>Hoja1!C10</f>
        <v>0.05</v>
      </c>
    </row>
    <row r="11" spans="1:14" x14ac:dyDescent="0.25">
      <c r="B11" t="s">
        <v>8</v>
      </c>
      <c r="C11" s="28">
        <v>0.1026</v>
      </c>
    </row>
    <row r="12" spans="1:14" x14ac:dyDescent="0.25">
      <c r="B12" t="s">
        <v>9</v>
      </c>
      <c r="C12" s="3">
        <v>0.08</v>
      </c>
    </row>
    <row r="15" spans="1:14" ht="30" x14ac:dyDescent="0.25">
      <c r="B15" s="11" t="s">
        <v>14</v>
      </c>
      <c r="E15" s="15" t="s">
        <v>11</v>
      </c>
      <c r="F15" s="5"/>
      <c r="G15" s="17" t="s">
        <v>12</v>
      </c>
      <c r="H15" s="5"/>
      <c r="I15" s="18" t="s">
        <v>13</v>
      </c>
    </row>
    <row r="16" spans="1:14" x14ac:dyDescent="0.25">
      <c r="A16">
        <v>1</v>
      </c>
      <c r="B16" t="s">
        <v>15</v>
      </c>
      <c r="E16" s="2">
        <f>C5</f>
        <v>12000000</v>
      </c>
      <c r="G16" s="2">
        <f>C7</f>
        <v>2250000</v>
      </c>
      <c r="I16" s="2">
        <f>E16+G16</f>
        <v>14250000</v>
      </c>
      <c r="L16" s="8"/>
      <c r="N16" s="2"/>
    </row>
    <row r="17" spans="1:15" x14ac:dyDescent="0.25">
      <c r="A17">
        <v>2</v>
      </c>
      <c r="B17" t="s">
        <v>16</v>
      </c>
      <c r="E17" s="2">
        <v>0</v>
      </c>
      <c r="G17" s="2">
        <v>0</v>
      </c>
      <c r="I17" s="2">
        <v>0</v>
      </c>
      <c r="N17" s="2"/>
    </row>
    <row r="18" spans="1:15" x14ac:dyDescent="0.25">
      <c r="A18">
        <v>3</v>
      </c>
      <c r="B18" t="s">
        <v>17</v>
      </c>
      <c r="E18" s="1">
        <v>0</v>
      </c>
      <c r="G18" s="1">
        <v>0</v>
      </c>
      <c r="I18" s="12">
        <v>0</v>
      </c>
      <c r="N18" s="2"/>
    </row>
    <row r="19" spans="1:15" x14ac:dyDescent="0.25">
      <c r="A19">
        <v>4</v>
      </c>
      <c r="B19" t="s">
        <v>18</v>
      </c>
      <c r="E19" s="2">
        <f>E16-E17+E18</f>
        <v>12000000</v>
      </c>
      <c r="G19" s="2">
        <f>G16-G17+G18</f>
        <v>2250000</v>
      </c>
      <c r="I19" s="2">
        <f>I16-I17+I18</f>
        <v>14250000</v>
      </c>
      <c r="N19" s="2"/>
    </row>
    <row r="20" spans="1:15" x14ac:dyDescent="0.25">
      <c r="A20">
        <v>5</v>
      </c>
      <c r="B20" t="s">
        <v>19</v>
      </c>
      <c r="E20" s="2">
        <f>C8*E19</f>
        <v>2640000</v>
      </c>
      <c r="G20" s="2">
        <f>$G$19*C8</f>
        <v>495000</v>
      </c>
      <c r="I20" s="2">
        <f>$I$19*C8</f>
        <v>3135000</v>
      </c>
      <c r="J20" s="2"/>
      <c r="N20" s="2"/>
    </row>
    <row r="21" spans="1:15" ht="15.75" thickBot="1" x14ac:dyDescent="0.3">
      <c r="A21">
        <v>6</v>
      </c>
      <c r="B21" t="s">
        <v>20</v>
      </c>
      <c r="E21" s="7">
        <f>E19-E20</f>
        <v>9360000</v>
      </c>
      <c r="G21" s="7">
        <f>G19-G20</f>
        <v>1755000</v>
      </c>
      <c r="I21" s="7">
        <f>I19-I20</f>
        <v>11115000</v>
      </c>
      <c r="N21" s="24" t="s">
        <v>50</v>
      </c>
      <c r="O21" s="31">
        <f>C11*100</f>
        <v>10.26</v>
      </c>
    </row>
    <row r="22" spans="1:15" ht="15.75" thickTop="1" x14ac:dyDescent="0.25">
      <c r="A22">
        <v>7</v>
      </c>
      <c r="B22" t="s">
        <v>27</v>
      </c>
      <c r="D22" s="10" t="s">
        <v>40</v>
      </c>
      <c r="E22" s="8">
        <f>E21/G5</f>
        <v>4.68</v>
      </c>
      <c r="G22" s="9">
        <f>G21/(G5+O25)</f>
        <v>0.73898844062069979</v>
      </c>
      <c r="I22" s="8">
        <f>I21/(G5+O25)</f>
        <v>4.6802601239310988</v>
      </c>
      <c r="J22" t="s">
        <v>31</v>
      </c>
      <c r="N22" s="24" t="s">
        <v>49</v>
      </c>
      <c r="O22" s="26">
        <f>E22</f>
        <v>4.68</v>
      </c>
    </row>
    <row r="23" spans="1:15" x14ac:dyDescent="0.25">
      <c r="E23" s="2"/>
      <c r="N23" s="25" t="s">
        <v>51</v>
      </c>
      <c r="O23" s="25">
        <f>O21*O22</f>
        <v>48.016799999999996</v>
      </c>
    </row>
    <row r="24" spans="1:15" x14ac:dyDescent="0.25">
      <c r="B24" s="11" t="s">
        <v>22</v>
      </c>
      <c r="E24" s="2"/>
      <c r="N24" s="25"/>
      <c r="O24" s="25"/>
    </row>
    <row r="25" spans="1:15" x14ac:dyDescent="0.25">
      <c r="B25" t="s">
        <v>15</v>
      </c>
      <c r="E25" s="2">
        <f>E16</f>
        <v>12000000</v>
      </c>
      <c r="F25" s="2"/>
      <c r="G25" s="2">
        <f>G16</f>
        <v>2250000</v>
      </c>
      <c r="I25" s="2">
        <f>E25+G25</f>
        <v>14250000</v>
      </c>
      <c r="N25" s="24" t="s">
        <v>52</v>
      </c>
      <c r="O25" s="25">
        <f>ROUNDDOWN(C4/O23,0)</f>
        <v>374868</v>
      </c>
    </row>
    <row r="26" spans="1:15" x14ac:dyDescent="0.25">
      <c r="B26" t="s">
        <v>19</v>
      </c>
      <c r="E26" s="12">
        <f>$C$8*E25</f>
        <v>2640000</v>
      </c>
      <c r="F26" s="2"/>
      <c r="G26" s="12">
        <f t="shared" ref="G26" si="0">$C$8*G25</f>
        <v>495000</v>
      </c>
      <c r="I26" s="1">
        <f>I25*C8</f>
        <v>3135000</v>
      </c>
    </row>
    <row r="27" spans="1:15" x14ac:dyDescent="0.25">
      <c r="B27" t="s">
        <v>23</v>
      </c>
      <c r="E27" s="2">
        <f>E25-E26</f>
        <v>9360000</v>
      </c>
      <c r="F27" s="2"/>
      <c r="G27" s="2">
        <f t="shared" ref="G27" si="1">G25-G26</f>
        <v>1755000</v>
      </c>
      <c r="I27" s="2">
        <f>I25-I26</f>
        <v>11115000</v>
      </c>
    </row>
    <row r="28" spans="1:15" x14ac:dyDescent="0.25">
      <c r="A28" t="s">
        <v>28</v>
      </c>
      <c r="B28" t="s">
        <v>24</v>
      </c>
      <c r="E28" s="2">
        <f>3*2400000</f>
        <v>7200000</v>
      </c>
      <c r="F28" s="2"/>
      <c r="G28" s="2">
        <f>3*600000</f>
        <v>1800000</v>
      </c>
      <c r="I28" s="2">
        <f>E28+G28</f>
        <v>9000000</v>
      </c>
    </row>
    <row r="29" spans="1:15" x14ac:dyDescent="0.25">
      <c r="B29" t="s">
        <v>25</v>
      </c>
      <c r="E29" s="12">
        <f>3*-2400000</f>
        <v>-7200000</v>
      </c>
      <c r="G29" s="12">
        <f>3*-600000</f>
        <v>-1800000</v>
      </c>
      <c r="I29" s="12">
        <f>E29+G29</f>
        <v>-9000000</v>
      </c>
    </row>
    <row r="30" spans="1:15" x14ac:dyDescent="0.25">
      <c r="A30">
        <v>4</v>
      </c>
      <c r="B30" t="s">
        <v>26</v>
      </c>
      <c r="E30" s="2">
        <f>SUM(E27:E29)</f>
        <v>9360000</v>
      </c>
      <c r="F30" s="2"/>
      <c r="G30" s="2">
        <f t="shared" ref="G30" si="2">SUM(G27:G29)</f>
        <v>1755000</v>
      </c>
      <c r="I30" s="2">
        <f>SUM(I27:I29)</f>
        <v>11115000</v>
      </c>
    </row>
    <row r="34" spans="1:9" ht="30" x14ac:dyDescent="0.25">
      <c r="E34" s="20" t="s">
        <v>37</v>
      </c>
      <c r="G34" s="19" t="s">
        <v>38</v>
      </c>
      <c r="H34" s="6"/>
      <c r="I34" s="18" t="s">
        <v>36</v>
      </c>
    </row>
    <row r="35" spans="1:9" x14ac:dyDescent="0.25">
      <c r="E35" s="2">
        <f>E30/C11</f>
        <v>91228070.175438598</v>
      </c>
      <c r="G35" s="2">
        <f>G30/C11-C4</f>
        <v>-894736.84210526198</v>
      </c>
      <c r="I35" s="2">
        <f>E35+G35</f>
        <v>90333333.333333343</v>
      </c>
    </row>
    <row r="38" spans="1:9" x14ac:dyDescent="0.25">
      <c r="B38" s="13" t="s">
        <v>29</v>
      </c>
    </row>
    <row r="39" spans="1:9" x14ac:dyDescent="0.25">
      <c r="A39">
        <v>1</v>
      </c>
      <c r="B39" s="14" t="s">
        <v>32</v>
      </c>
    </row>
    <row r="40" spans="1:9" x14ac:dyDescent="0.25">
      <c r="A40">
        <v>2</v>
      </c>
      <c r="B40" s="14" t="s">
        <v>33</v>
      </c>
    </row>
    <row r="41" spans="1:9" x14ac:dyDescent="0.25">
      <c r="A41">
        <v>3</v>
      </c>
      <c r="B41" s="14" t="s">
        <v>34</v>
      </c>
    </row>
    <row r="42" spans="1:9" x14ac:dyDescent="0.25">
      <c r="A42">
        <v>4</v>
      </c>
      <c r="B42" s="14" t="s">
        <v>35</v>
      </c>
    </row>
    <row r="45" spans="1:9" x14ac:dyDescent="0.25">
      <c r="B45" s="14" t="s">
        <v>30</v>
      </c>
    </row>
    <row r="47" spans="1:9" x14ac:dyDescent="0.25">
      <c r="B47" s="22" t="s">
        <v>57</v>
      </c>
    </row>
  </sheetData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47"/>
  <sheetViews>
    <sheetView workbookViewId="0">
      <selection activeCell="C7" sqref="C7"/>
    </sheetView>
  </sheetViews>
  <sheetFormatPr baseColWidth="10" defaultRowHeight="15" x14ac:dyDescent="0.25"/>
  <cols>
    <col min="2" max="2" width="42" customWidth="1"/>
    <col min="5" max="5" width="14.7109375" customWidth="1"/>
    <col min="6" max="6" width="5.7109375" customWidth="1"/>
    <col min="7" max="7" width="14.7109375" customWidth="1"/>
    <col min="8" max="8" width="5.7109375" customWidth="1"/>
    <col min="9" max="9" width="14.7109375" customWidth="1"/>
    <col min="14" max="14" width="20.140625" customWidth="1"/>
    <col min="15" max="15" width="20.28515625" bestFit="1" customWidth="1"/>
  </cols>
  <sheetData>
    <row r="1" spans="1:14" x14ac:dyDescent="0.25">
      <c r="A1" t="s">
        <v>0</v>
      </c>
    </row>
    <row r="2" spans="1:14" x14ac:dyDescent="0.25">
      <c r="I2" s="23"/>
      <c r="J2" s="23"/>
    </row>
    <row r="4" spans="1:14" x14ac:dyDescent="0.25">
      <c r="B4" t="s">
        <v>1</v>
      </c>
      <c r="C4" s="2">
        <f>6000000*3</f>
        <v>18000000</v>
      </c>
    </row>
    <row r="5" spans="1:14" x14ac:dyDescent="0.25">
      <c r="B5" t="s">
        <v>2</v>
      </c>
      <c r="C5" s="2">
        <f>3*4000000</f>
        <v>12000000</v>
      </c>
      <c r="E5">
        <f>C5/C4</f>
        <v>0.66666666666666663</v>
      </c>
      <c r="G5" s="2">
        <v>2000000</v>
      </c>
      <c r="H5" t="s">
        <v>21</v>
      </c>
    </row>
    <row r="6" spans="1:14" x14ac:dyDescent="0.25">
      <c r="B6" t="s">
        <v>3</v>
      </c>
      <c r="C6" s="2">
        <f>3*2000000</f>
        <v>6000000</v>
      </c>
    </row>
    <row r="7" spans="1:14" x14ac:dyDescent="0.25">
      <c r="A7" t="s">
        <v>10</v>
      </c>
      <c r="B7" t="s">
        <v>4</v>
      </c>
      <c r="C7" s="2">
        <f>3*750000</f>
        <v>2250000</v>
      </c>
    </row>
    <row r="8" spans="1:14" x14ac:dyDescent="0.25">
      <c r="B8" t="s">
        <v>5</v>
      </c>
      <c r="C8" s="3">
        <v>0.22</v>
      </c>
    </row>
    <row r="9" spans="1:14" x14ac:dyDescent="0.25">
      <c r="B9" t="s">
        <v>6</v>
      </c>
      <c r="C9" s="3">
        <v>0.04</v>
      </c>
    </row>
    <row r="10" spans="1:14" x14ac:dyDescent="0.25">
      <c r="B10" t="s">
        <v>7</v>
      </c>
      <c r="C10" s="4">
        <v>0.05</v>
      </c>
    </row>
    <row r="11" spans="1:14" x14ac:dyDescent="0.25">
      <c r="B11" t="s">
        <v>8</v>
      </c>
      <c r="C11" s="4">
        <v>0.12</v>
      </c>
    </row>
    <row r="12" spans="1:14" x14ac:dyDescent="0.25">
      <c r="B12" t="s">
        <v>9</v>
      </c>
      <c r="C12" s="4">
        <v>0.1</v>
      </c>
    </row>
    <row r="15" spans="1:14" ht="30" x14ac:dyDescent="0.25">
      <c r="B15" s="11" t="s">
        <v>14</v>
      </c>
      <c r="E15" s="15" t="s">
        <v>11</v>
      </c>
      <c r="F15" s="5"/>
      <c r="G15" s="17" t="s">
        <v>12</v>
      </c>
      <c r="H15" s="5"/>
      <c r="I15" s="18" t="s">
        <v>13</v>
      </c>
    </row>
    <row r="16" spans="1:14" x14ac:dyDescent="0.25">
      <c r="A16">
        <v>1</v>
      </c>
      <c r="B16" t="s">
        <v>15</v>
      </c>
      <c r="E16" s="2">
        <f>C5</f>
        <v>12000000</v>
      </c>
      <c r="G16" s="2">
        <f>C7</f>
        <v>2250000</v>
      </c>
      <c r="I16" s="2">
        <f>C5+C7</f>
        <v>14250000</v>
      </c>
      <c r="N16" s="2"/>
    </row>
    <row r="17" spans="1:15" x14ac:dyDescent="0.25">
      <c r="A17">
        <v>2</v>
      </c>
      <c r="B17" t="s">
        <v>16</v>
      </c>
      <c r="E17" s="2">
        <v>0</v>
      </c>
      <c r="G17" s="2">
        <v>0</v>
      </c>
      <c r="I17" s="2">
        <v>0</v>
      </c>
      <c r="N17" s="2"/>
    </row>
    <row r="18" spans="1:15" x14ac:dyDescent="0.25">
      <c r="A18">
        <v>3</v>
      </c>
      <c r="B18" t="s">
        <v>17</v>
      </c>
      <c r="E18" s="1">
        <v>0</v>
      </c>
      <c r="G18" s="1">
        <v>0</v>
      </c>
      <c r="I18" s="12">
        <v>0</v>
      </c>
      <c r="N18" s="2"/>
    </row>
    <row r="19" spans="1:15" x14ac:dyDescent="0.25">
      <c r="A19">
        <v>4</v>
      </c>
      <c r="B19" t="s">
        <v>18</v>
      </c>
      <c r="E19" s="2">
        <f>E16-E17+E18</f>
        <v>12000000</v>
      </c>
      <c r="G19" s="2">
        <f>G16-G17+G18</f>
        <v>2250000</v>
      </c>
      <c r="I19" s="2">
        <f>I16-I17+I18</f>
        <v>14250000</v>
      </c>
      <c r="N19" s="2"/>
    </row>
    <row r="20" spans="1:15" x14ac:dyDescent="0.25">
      <c r="A20">
        <v>5</v>
      </c>
      <c r="B20" t="s">
        <v>19</v>
      </c>
      <c r="E20" s="2">
        <f>C8*E19</f>
        <v>2640000</v>
      </c>
      <c r="G20" s="2">
        <f>$G$19*C8</f>
        <v>495000</v>
      </c>
      <c r="I20" s="2">
        <f>$I$19*C8</f>
        <v>3135000</v>
      </c>
      <c r="N20" s="24" t="s">
        <v>50</v>
      </c>
      <c r="O20" s="30">
        <f>C11</f>
        <v>0.12</v>
      </c>
    </row>
    <row r="21" spans="1:15" ht="15.75" thickBot="1" x14ac:dyDescent="0.3">
      <c r="A21">
        <v>6</v>
      </c>
      <c r="B21" t="s">
        <v>20</v>
      </c>
      <c r="E21" s="7">
        <f>E19-E20</f>
        <v>9360000</v>
      </c>
      <c r="G21" s="7">
        <f>G19-G20</f>
        <v>1755000</v>
      </c>
      <c r="I21" s="7">
        <f>I19-I20</f>
        <v>11115000</v>
      </c>
      <c r="N21" s="24" t="s">
        <v>49</v>
      </c>
      <c r="O21" s="26">
        <f>E22</f>
        <v>4.68</v>
      </c>
    </row>
    <row r="22" spans="1:15" ht="15.75" thickTop="1" x14ac:dyDescent="0.25">
      <c r="A22">
        <v>7</v>
      </c>
      <c r="B22" t="s">
        <v>27</v>
      </c>
      <c r="D22" s="10" t="s">
        <v>40</v>
      </c>
      <c r="E22" s="8">
        <f>E21/G5</f>
        <v>4.68</v>
      </c>
      <c r="G22" s="9">
        <f>G21/(G5+O25)</f>
        <v>5.1539909638554218E-2</v>
      </c>
      <c r="I22" s="8">
        <f>I21/(G5+O25)</f>
        <v>0.32641942771084342</v>
      </c>
      <c r="J22" t="s">
        <v>31</v>
      </c>
      <c r="N22" s="25" t="s">
        <v>53</v>
      </c>
      <c r="O22" s="25">
        <f>O20*O21</f>
        <v>0.56159999999999999</v>
      </c>
    </row>
    <row r="23" spans="1:15" x14ac:dyDescent="0.25">
      <c r="E23" s="2"/>
      <c r="N23" s="27"/>
      <c r="O23" s="25"/>
    </row>
    <row r="24" spans="1:15" x14ac:dyDescent="0.25">
      <c r="B24" s="11" t="s">
        <v>22</v>
      </c>
      <c r="E24" s="2"/>
      <c r="N24" s="25"/>
      <c r="O24" s="25"/>
    </row>
    <row r="25" spans="1:15" x14ac:dyDescent="0.25">
      <c r="B25" t="s">
        <v>15</v>
      </c>
      <c r="E25" s="2">
        <f>E16</f>
        <v>12000000</v>
      </c>
      <c r="F25" s="2"/>
      <c r="G25" s="2">
        <f t="shared" ref="G25" si="0">G16</f>
        <v>2250000</v>
      </c>
      <c r="I25" s="2">
        <f>E25+G25</f>
        <v>14250000</v>
      </c>
      <c r="N25" s="25" t="s">
        <v>52</v>
      </c>
      <c r="O25" s="25">
        <f>C4/O22</f>
        <v>32051282.051282052</v>
      </c>
    </row>
    <row r="26" spans="1:15" x14ac:dyDescent="0.25">
      <c r="B26" t="s">
        <v>19</v>
      </c>
      <c r="E26" s="12">
        <f>$C$8*E25</f>
        <v>2640000</v>
      </c>
      <c r="F26" s="2"/>
      <c r="G26" s="12">
        <f t="shared" ref="G26" si="1">$C$8*G25</f>
        <v>495000</v>
      </c>
      <c r="I26" s="12">
        <f>I25*C8</f>
        <v>3135000</v>
      </c>
    </row>
    <row r="27" spans="1:15" x14ac:dyDescent="0.25">
      <c r="B27" t="s">
        <v>23</v>
      </c>
      <c r="E27" s="2">
        <f>E25-E26</f>
        <v>9360000</v>
      </c>
      <c r="F27" s="2"/>
      <c r="G27" s="2">
        <f t="shared" ref="G27" si="2">G25-G26</f>
        <v>1755000</v>
      </c>
      <c r="I27" s="2">
        <f>I25-I26</f>
        <v>11115000</v>
      </c>
      <c r="N27" t="s">
        <v>61</v>
      </c>
      <c r="O27">
        <v>1.49</v>
      </c>
    </row>
    <row r="28" spans="1:15" x14ac:dyDescent="0.25">
      <c r="A28" t="s">
        <v>28</v>
      </c>
      <c r="B28" t="s">
        <v>24</v>
      </c>
      <c r="E28" s="2">
        <v>2400000</v>
      </c>
      <c r="F28" s="2"/>
      <c r="G28" s="2">
        <f>600000</f>
        <v>600000</v>
      </c>
      <c r="I28" s="2">
        <v>300000</v>
      </c>
      <c r="N28" s="14" t="s">
        <v>62</v>
      </c>
      <c r="O28" s="4">
        <f>C9</f>
        <v>0.04</v>
      </c>
    </row>
    <row r="29" spans="1:15" x14ac:dyDescent="0.25">
      <c r="B29" t="s">
        <v>25</v>
      </c>
      <c r="E29" s="12">
        <v>-2400000</v>
      </c>
      <c r="G29" s="1">
        <v>-600000</v>
      </c>
      <c r="I29" s="12">
        <v>-300000</v>
      </c>
      <c r="N29" t="s">
        <v>63</v>
      </c>
      <c r="O29" s="29">
        <v>5.7000000000000002E-2</v>
      </c>
    </row>
    <row r="30" spans="1:15" x14ac:dyDescent="0.25">
      <c r="A30">
        <v>4</v>
      </c>
      <c r="B30" t="s">
        <v>26</v>
      </c>
      <c r="E30" s="2">
        <f>SUM(E27:E29)</f>
        <v>9360000</v>
      </c>
      <c r="F30" s="2"/>
      <c r="G30" s="2">
        <f t="shared" ref="G30" si="3">SUM(G27:G29)</f>
        <v>1755000</v>
      </c>
      <c r="I30" s="2">
        <f>SUM(I27:I29)</f>
        <v>11115000</v>
      </c>
    </row>
    <row r="31" spans="1:15" x14ac:dyDescent="0.25">
      <c r="O31" s="4">
        <f>O28+O27*O29</f>
        <v>0.12493000000000001</v>
      </c>
    </row>
    <row r="33" spans="1:15" x14ac:dyDescent="0.25">
      <c r="N33" t="s">
        <v>64</v>
      </c>
      <c r="O33" s="2">
        <f>1535082-953016</f>
        <v>582066</v>
      </c>
    </row>
    <row r="34" spans="1:15" ht="30" x14ac:dyDescent="0.25">
      <c r="E34" s="20" t="s">
        <v>37</v>
      </c>
      <c r="G34" s="19" t="s">
        <v>38</v>
      </c>
      <c r="H34" s="6"/>
      <c r="I34" s="18" t="s">
        <v>36</v>
      </c>
      <c r="N34" t="s">
        <v>67</v>
      </c>
      <c r="O34" s="2">
        <f>O35-O33</f>
        <v>953016</v>
      </c>
    </row>
    <row r="35" spans="1:15" x14ac:dyDescent="0.25">
      <c r="E35" s="2">
        <f>E30/C11</f>
        <v>78000000</v>
      </c>
      <c r="G35" s="2">
        <f>G30/C11-C4</f>
        <v>-3375000</v>
      </c>
      <c r="I35" s="2">
        <f>E35+G35</f>
        <v>74625000</v>
      </c>
      <c r="N35" t="s">
        <v>65</v>
      </c>
      <c r="O35">
        <f>1535082</f>
        <v>1535082</v>
      </c>
    </row>
    <row r="37" spans="1:15" x14ac:dyDescent="0.25">
      <c r="N37" t="s">
        <v>66</v>
      </c>
      <c r="O37" s="4">
        <f>C11*O34/O35+C10*(1-C89)*O33/O35</f>
        <v>9.345769151094209E-2</v>
      </c>
    </row>
    <row r="38" spans="1:15" x14ac:dyDescent="0.25">
      <c r="B38" s="13" t="s">
        <v>29</v>
      </c>
    </row>
    <row r="39" spans="1:15" x14ac:dyDescent="0.25">
      <c r="A39">
        <v>1</v>
      </c>
      <c r="B39" s="14" t="s">
        <v>32</v>
      </c>
    </row>
    <row r="40" spans="1:15" x14ac:dyDescent="0.25">
      <c r="A40">
        <v>2</v>
      </c>
      <c r="B40" s="14" t="s">
        <v>33</v>
      </c>
    </row>
    <row r="41" spans="1:15" x14ac:dyDescent="0.25">
      <c r="A41">
        <v>3</v>
      </c>
      <c r="B41" s="14" t="s">
        <v>34</v>
      </c>
    </row>
    <row r="42" spans="1:15" x14ac:dyDescent="0.25">
      <c r="A42">
        <v>4</v>
      </c>
      <c r="B42" s="14" t="s">
        <v>35</v>
      </c>
    </row>
    <row r="45" spans="1:15" x14ac:dyDescent="0.25">
      <c r="B45" s="14"/>
    </row>
    <row r="47" spans="1:15" x14ac:dyDescent="0.25">
      <c r="B47" s="22" t="s">
        <v>57</v>
      </c>
    </row>
  </sheetData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"/>
  <sheetViews>
    <sheetView workbookViewId="0">
      <selection activeCell="E8" sqref="E8"/>
    </sheetView>
  </sheetViews>
  <sheetFormatPr baseColWidth="10" defaultRowHeight="15" x14ac:dyDescent="0.25"/>
  <sheetData>
    <row r="2" spans="2:2" x14ac:dyDescent="0.25">
      <c r="B2" s="16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Hoja1</vt:lpstr>
      <vt:lpstr>py sin deuda</vt:lpstr>
      <vt:lpstr>py con deuda </vt:lpstr>
      <vt:lpstr>Hoja5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</dc:creator>
  <cp:lastModifiedBy>Luis</cp:lastModifiedBy>
  <dcterms:created xsi:type="dcterms:W3CDTF">2018-06-04T19:13:10Z</dcterms:created>
  <dcterms:modified xsi:type="dcterms:W3CDTF">2018-06-08T22:40:47Z</dcterms:modified>
</cp:coreProperties>
</file>